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0" yWindow="65461" windowWidth="15360" windowHeight="9180" tabRatio="874" activeTab="0"/>
  </bookViews>
  <sheets>
    <sheet name="Introduction" sheetId="1" r:id="rId1"/>
    <sheet name="Ration Balancer" sheetId="2" r:id="rId2"/>
    <sheet name="Summary" sheetId="3" r:id="rId3"/>
    <sheet name="Cost Analysis" sheetId="4" r:id="rId4"/>
    <sheet name="Feedstuffs" sheetId="5" r:id="rId5"/>
    <sheet name="Requirements" sheetId="6" r:id="rId6"/>
    <sheet name="Body Condition Scores" sheetId="7" r:id="rId7"/>
    <sheet name="Definitions" sheetId="8" r:id="rId8"/>
  </sheets>
  <definedNames>
    <definedName name="_xlnm._FilterDatabase" localSheetId="4" hidden="1">'Feedstuffs'!$A$11:$T$295</definedName>
    <definedName name="cattle" localSheetId="4">#REF!</definedName>
    <definedName name="cattle" localSheetId="5">#REF!</definedName>
    <definedName name="cattle">#REF!</definedName>
    <definedName name="conditionscores">'Ration Balancer'!$B$88:$B$104</definedName>
    <definedName name="fed" localSheetId="4">'Feedstuffs'!$A$11:$A$295</definedName>
    <definedName name="fed">#REF!</definedName>
    <definedName name="feds">'Feedstuffs'!$A$11:$A$296</definedName>
    <definedName name="FEEDS" localSheetId="4">'Feedstuffs'!$A$12:$A$295</definedName>
    <definedName name="FEEDS">#REF!</definedName>
    <definedName name="feedss">'Feedstuffs'!$A$11:$A$302</definedName>
    <definedName name="FEEDSTUFF" localSheetId="4">'Feedstuffs'!$A$12:$A$295</definedName>
    <definedName name="FEEDSTUFF">#REF!</definedName>
    <definedName name="Feedstuffs">#REF!</definedName>
    <definedName name="heifers">'Requirements'!$A$10:$C$36</definedName>
    <definedName name="ingred">#REF!</definedName>
    <definedName name="ingreds">#REF!</definedName>
    <definedName name="_xlnm.Print_Area" localSheetId="6">'Body Condition Scores'!$A$1:$Q$48</definedName>
    <definedName name="_xlnm.Print_Area" localSheetId="3">'Cost Analysis'!$A$1:$V$36</definedName>
    <definedName name="_xlnm.Print_Area" localSheetId="7">'Definitions'!$A$1:$N$39</definedName>
    <definedName name="_xlnm.Print_Area" localSheetId="4">'Feedstuffs'!$A$1:$T$311</definedName>
    <definedName name="_xlnm.Print_Area" localSheetId="0">'Introduction'!$A$1:$N$47</definedName>
    <definedName name="_xlnm.Print_Area" localSheetId="1">'Ration Balancer'!$A$1:$U$35</definedName>
    <definedName name="_xlnm.Print_Area" localSheetId="5">'Requirements'!$A$1:$O$324</definedName>
    <definedName name="_xlnm.Print_Area" localSheetId="2">'Summary'!$A$1:$N$35</definedName>
    <definedName name="stages" localSheetId="4">#REF!</definedName>
    <definedName name="stages" localSheetId="5">#REF!</definedName>
    <definedName name="stages">#REF!</definedName>
  </definedNames>
  <calcPr fullCalcOnLoad="1"/>
</workbook>
</file>

<file path=xl/sharedStrings.xml><?xml version="1.0" encoding="utf-8"?>
<sst xmlns="http://schemas.openxmlformats.org/spreadsheetml/2006/main" count="2649" uniqueCount="628">
  <si>
    <t>This page is the list of feedstuffs available to use with this program.  Individual feed tests will vary from these values and individual testing of feedstuffs is encouraged.  Actual test results can be entered for any of the feeds on this page and these changes will be reflected on the Ration Balancer page.  There are commercial protein, mineral, and liquid supplements listed as "commercial supplements" in the list of feedstuffs.  The commercial supplements listed here do not reflect all commercial supplements available and merely serve as examples.  Producers are encouraged to enter the information for their own supplements in these spaces.  Once changes are made to a feedstuff, it must be re-selected on the Ration Balancer page for the changes to take effect.  Also, once values are changed on this sheet, be sure to SAVE changes before closing the program.</t>
  </si>
  <si>
    <t>Lbs  per Day (As Fed)</t>
  </si>
  <si>
    <t xml:space="preserve">Price-Protein Basis </t>
  </si>
  <si>
    <t>Price-Energy Basis</t>
  </si>
  <si>
    <r>
      <t>Very Thin</t>
    </r>
    <r>
      <rPr>
        <sz val="10.5"/>
        <rFont val="Arial Narrow"/>
        <family val="2"/>
      </rPr>
      <t>-Little evidence of fat deposits but some muscling in hindquarters.  The spinous processes (vertebrae) feel sharp to the touch and are easily seen, with space between them.</t>
    </r>
  </si>
  <si>
    <r>
      <t>Borderline</t>
    </r>
    <r>
      <rPr>
        <sz val="10.5"/>
        <rFont val="Arial Narrow"/>
        <family val="2"/>
      </rPr>
      <t>-Foreribs not noticeable; 12th and 13th ribs still noticeable to the eye, particularly in cattle with big spring of rib and ribs wide apart.  The transverse (horizontal to the ground) spinous processes can be identified only by palpation(with slight pressure) to feel rounded rather than sharp.  Full but straightness of muscling in the hindquarters.</t>
    </r>
  </si>
  <si>
    <r>
      <t>All feedstuffs MUST be listed alphabetically on this page for the Ration Balancer to work properly.</t>
    </r>
    <r>
      <rPr>
        <b/>
        <sz val="11"/>
        <color indexed="16"/>
        <rFont val="Arial Narrow"/>
        <family val="2"/>
      </rPr>
      <t xml:space="preserve">  Therefore, it is best to not rename feedstuffs without also re-sorting the feedstuffs alphebetically.  Resorting can be done by clicking on the arrow (box) at the top of the first column and selecting "sort ascending".  In order to avoid re-sorting feedstuffs, there are 5 "Additional Feedstuffs" at the top of this list to allow users to enter information for new feedstuffs.  These will not be able to be renamed without re-sorting alphabetically, however.</t>
    </r>
  </si>
  <si>
    <r>
      <t xml:space="preserve">The Cost Analysis sheet also details the feed costs per head, per day, and for the entire feeding period.  </t>
    </r>
    <r>
      <rPr>
        <u val="single"/>
        <sz val="11"/>
        <color indexed="16"/>
        <rFont val="Arial Narrow"/>
        <family val="2"/>
      </rPr>
      <t>No information is entered on this sheet.</t>
    </r>
    <r>
      <rPr>
        <sz val="11"/>
        <color indexed="16"/>
        <rFont val="Arial Narrow"/>
        <family val="2"/>
      </rPr>
      <t xml:space="preserve"> </t>
    </r>
  </si>
  <si>
    <t>All requirements, predictions, and calculations are figured using information from "Nutrient Requirements of Beef Cattle", National Research Council, 2000.</t>
  </si>
  <si>
    <r>
      <t xml:space="preserve">"Book Values" for feedstuffs are based on a variety of credible resources, including 2009 Feed Composition Tables, compiled by R. L. Preston, PhD, and available at:  </t>
    </r>
    <r>
      <rPr>
        <u val="single"/>
        <sz val="11"/>
        <color indexed="16"/>
        <rFont val="Arial Narrow"/>
        <family val="2"/>
      </rPr>
      <t>http://beefmagazine.com/nutrition/feed-composition-tables/0301-feed-composition-tables_3/index.html</t>
    </r>
  </si>
  <si>
    <t>In addition, the Beef Cow Ration Balancer was created to help beef producers meet the nutritional needs of their herds as efficiently as possible.  Challenged with narrow profit margins, cow/calf producers must take advantage of opportunities to increase the efficiency of their operations.  Since feed costs are responsible for a significant portion of an operation's total costs, reducing feed costs can also greatly impact the profitability of the operation.</t>
  </si>
  <si>
    <t>To the right of each feedstuff, enter the amount that you will be feeding on a "per head, per day basis (as-fed)".  As these amounts are entered, the program will begin analyzing the proposed diet.  At the bottom of the page, you can compare the value of each nutrient in the proposed diet to the cow's requirement for that nutrient.  In order for the ration to be balanced, the proposed diet must meet or exceed the requirements for every nutrient listed.  If the proposed diet is deficient in any nutrient, the cell will turn GREEN.  Click on the green cell for a detailed explanation of how to correct the problem.  If there are no green cells, the proposed diet meets or exceeds the requirements of the cow.</t>
  </si>
  <si>
    <t>4.</t>
  </si>
  <si>
    <t>Adjust the intake levels of the various feedstuffs in order to meet all requirements.</t>
  </si>
  <si>
    <t xml:space="preserve">This sheet can be used to compare the cost of each feedstuff.  It breaks down the cost on a protein and energy basis to allow for easier cost comparison between feedstuffs.  In the "Price-Protein Basis" and "Price-Energy Basis" columns, feedstuffs with lowest dollar values are the least expensive source of that nutrient.  With these figures, feedstuffs with different energy/protein levels and different moisture levels can be compared to one another to determine the least expensive source of the nutrient. </t>
  </si>
  <si>
    <t>This is the list of feedstuffs available to use when formulating rations.  Individual values may be changed based on your own feed tests.</t>
  </si>
  <si>
    <t>To add new feedstuffs, follow the instructions at the top of Feedstuffs sheet.</t>
  </si>
  <si>
    <t>After entering information about his or her own cattle, the producer is able to balance a ration utilizing the feedstuffs available to that operation.  The program also contains a 'Summary' page which will compute daily feed delivery for the herd and will forecast how much of each feedstuff will be required to feed at the specified level throughout the feeding period.  Finally, the 'Cost Analysis' page breaks down the cost of each feed ingredient on a “per 1000 megacalories of energy” and “per ton of protein” basis.  These can be helpful as producers search for less expensive alternatives to some of the more common feedstuffs.  These features allow the producers to compare the cost of feed ingredients on an equal energy or protein basis.</t>
  </si>
  <si>
    <t>To navigate through this program, use the tabs on the bottom of the page, titled: "Ration Balancer, Summary, Cost Analysis", etc.</t>
  </si>
  <si>
    <t>The University of Minnesota Beef Cow Ration Balancer is designed to help beef producers more closely monitor the nutritional requirements of their cows.  Nutrient requirements vary greatly with differences in lactation, gestation, breed, environment, body condition, and other factors.  This program is designed to assist producers in determining the nutritional requirements of their cows and balancing rations that will adequately meet those requirements.</t>
  </si>
  <si>
    <r>
      <t xml:space="preserve">As you use this program, all data will be entered on the "Ration Balancer" sheet, in </t>
    </r>
    <r>
      <rPr>
        <b/>
        <i/>
        <u val="single"/>
        <sz val="11"/>
        <color indexed="16"/>
        <rFont val="Arial Black"/>
        <family val="2"/>
      </rPr>
      <t>Dark Red</t>
    </r>
    <r>
      <rPr>
        <sz val="11"/>
        <color indexed="16"/>
        <rFont val="Arial Narrow"/>
        <family val="2"/>
      </rPr>
      <t xml:space="preserve"> cells.  </t>
    </r>
  </si>
  <si>
    <t>Body Condition Scores Sheet</t>
  </si>
  <si>
    <t>Enter the information for your herd in the dark red boxes at the top of the page. Click the blue button for detailed information on Body Condition Scoring.</t>
  </si>
  <si>
    <t>1.</t>
  </si>
  <si>
    <t>2.</t>
  </si>
  <si>
    <t>3.</t>
  </si>
  <si>
    <t>In the dark red boxes on the left side of the page, select the feedstuff you will be using and enter the price per ton (as-fed).  To add feedstuffs to this list, click on the "feedstuffs" tab at the bottom and follow the directions on that sheet.</t>
  </si>
  <si>
    <t>Corn Silage Milk Stage</t>
  </si>
  <si>
    <t>Corn Silage Sweet Corn</t>
  </si>
  <si>
    <t>Corn Whole Plant Pelleted</t>
  </si>
  <si>
    <t>Dehydrated</t>
  </si>
  <si>
    <t>Distillers Grain, Corn, Modified</t>
  </si>
  <si>
    <t>Elephant (Napier) Grass Hay, Chopped</t>
  </si>
  <si>
    <t>Feather Meal Hydrolyzed</t>
  </si>
  <si>
    <t>Fescue KY 31 Fresh</t>
  </si>
  <si>
    <t>Fescue KY 31 Hay Early Bloom</t>
  </si>
  <si>
    <t>Fescue KY 31 Hay Mature</t>
  </si>
  <si>
    <t>Garbage Municipal Cooked</t>
  </si>
  <si>
    <t>Grape Pomace Stemless</t>
  </si>
  <si>
    <t>Hop Vine Silage</t>
  </si>
  <si>
    <t>Hops Spent</t>
  </si>
  <si>
    <t>Kelp Dried</t>
  </si>
  <si>
    <t>Kenaf Hay</t>
  </si>
  <si>
    <t>Kochia Fresh</t>
  </si>
  <si>
    <t>Kochia Hay</t>
  </si>
  <si>
    <t>Lespedeza Fresh Early Bloom</t>
  </si>
  <si>
    <t>Meat &amp; Bone Meal, Swine/Poultry</t>
  </si>
  <si>
    <t>Molasses Beet</t>
  </si>
  <si>
    <t>Molasses Cane Dried</t>
  </si>
  <si>
    <t>Oat Mill Byproduct</t>
  </si>
  <si>
    <t>Orange Pulp Dried</t>
  </si>
  <si>
    <t>Orchardgrass Fresh Early Bloom</t>
  </si>
  <si>
    <t>Potato Waste Dried</t>
  </si>
  <si>
    <t>Potato Waste Filter Cake</t>
  </si>
  <si>
    <t>Potato Waste Wet</t>
  </si>
  <si>
    <t>Potato Waste Wet with Lime</t>
  </si>
  <si>
    <t>Poultry Byproduct Meal</t>
  </si>
  <si>
    <t>Poultry Manure Dried</t>
  </si>
  <si>
    <t>Rice Mill Byproduct</t>
  </si>
  <si>
    <t>Rice Straw Ammoniated</t>
  </si>
  <si>
    <t>Rye Grass Hay</t>
  </si>
  <si>
    <t>Rye Grass Silage</t>
  </si>
  <si>
    <t>Safflower Meal Dehulled Solvent</t>
  </si>
  <si>
    <t>Safflower Meal Solvent</t>
  </si>
  <si>
    <t>Sagebrush Fresh</t>
  </si>
  <si>
    <t>Sanfoin Hay</t>
  </si>
  <si>
    <t>Sorghum Grain (Milo) Flaked</t>
  </si>
  <si>
    <t>Sorghum Grain (Milo) Ground</t>
  </si>
  <si>
    <t>Soybean Meal Solvent 44% CP</t>
  </si>
  <si>
    <t>Soybean Meal Solvent 49% CP</t>
  </si>
  <si>
    <t>Sudangrass Fresh Immature</t>
  </si>
  <si>
    <t>Sudangrass Hay</t>
  </si>
  <si>
    <t>Sudangrass Silage</t>
  </si>
  <si>
    <t>Timothy Fresh Pre-bloom</t>
  </si>
  <si>
    <t>Timothy Hay Early Bloom</t>
  </si>
  <si>
    <t>Timothy Hay Full Bloom</t>
  </si>
  <si>
    <t>Tomato Pomace Dried</t>
  </si>
  <si>
    <t>Urea 46% N</t>
  </si>
  <si>
    <t>Wheat Grain Hard</t>
  </si>
  <si>
    <t>Wheat Grain Soft</t>
  </si>
  <si>
    <t>Wheat Grain Sprouted</t>
  </si>
  <si>
    <t>Wheat Straw Ammoniated</t>
  </si>
  <si>
    <t>Wheatgrass Crested Fresh Early Bloom</t>
  </si>
  <si>
    <t>Wheatgrass Crested Fresh Full Bloom</t>
  </si>
  <si>
    <t>Whey Dried</t>
  </si>
  <si>
    <t>Adapted from: BEEF Magazine 2009 Feed Composition Tables (Rod Preston, PhD)</t>
  </si>
  <si>
    <r>
      <t>Very Fat</t>
    </r>
    <r>
      <rPr>
        <sz val="10.5"/>
        <rFont val="Arial Narrow"/>
        <family val="2"/>
      </rPr>
      <t>-Bone structure not seen or easily felt.  Tail head buried in fat.  Animal's mobility may actually be impaired by excess amounts of fat.</t>
    </r>
  </si>
  <si>
    <t>Additional Feedstuff #2</t>
  </si>
  <si>
    <t>Additional Feedstuff #3</t>
  </si>
  <si>
    <t>Additional Feedstuff #4</t>
  </si>
  <si>
    <t>Additional Feedstuff #5</t>
  </si>
  <si>
    <t>Alfalfa Dehydrated 17% CP</t>
  </si>
  <si>
    <t>Alfalfa Hay Early Bloom</t>
  </si>
  <si>
    <t>Alfalfa Hay Full Bloom</t>
  </si>
  <si>
    <t>Alfalfa Hay Mature</t>
  </si>
  <si>
    <t>Alfalfa Hay Midbloom</t>
  </si>
  <si>
    <t>Alfalfa Silage Wilted</t>
  </si>
  <si>
    <t>Apple Pomace Dried</t>
  </si>
  <si>
    <t>Apple Pomace Wet</t>
  </si>
  <si>
    <t>Bakery Product Dried</t>
  </si>
  <si>
    <t>Barley Feed Pearl Byproduct</t>
  </si>
  <si>
    <t>Barley Grain 2-row</t>
  </si>
  <si>
    <t>Barley Grain 6-row</t>
  </si>
  <si>
    <t>Barley Grain Lt. Wt.</t>
  </si>
  <si>
    <t>Barley Grain Steam Rolled</t>
  </si>
  <si>
    <t>Barley Silage Mature</t>
  </si>
  <si>
    <t>Beet Pulp Dried</t>
  </si>
  <si>
    <t>Beet Pulp Dried with molasses</t>
  </si>
  <si>
    <t>Beet Pulp Wet</t>
  </si>
  <si>
    <t>Beet Pulp Wet with molasses</t>
  </si>
  <si>
    <t>Beet Top Silage</t>
  </si>
  <si>
    <t>Beet Tops (Sugar)</t>
  </si>
  <si>
    <t>Bermudagrass Coastal Hay</t>
  </si>
  <si>
    <t>Bermudagrass Hay</t>
  </si>
  <si>
    <t>Bermudagrass Silage</t>
  </si>
  <si>
    <t>Birdsfoot Trefoil Fresh</t>
  </si>
  <si>
    <t>Birdsfoot Trefoil Hay</t>
  </si>
  <si>
    <t>Bloom</t>
  </si>
  <si>
    <t>Bluegrass KY Fresh Early</t>
  </si>
  <si>
    <t>Bread Byproduct</t>
  </si>
  <si>
    <t>Brewers Grains Dried</t>
  </si>
  <si>
    <t>Brewers Grains Wet</t>
  </si>
  <si>
    <t>Brewers Yeast Dried</t>
  </si>
  <si>
    <t>Bromegrass Fresh Immature</t>
  </si>
  <si>
    <t>Buttermilk Dried</t>
  </si>
  <si>
    <t>Cattle Manure Dried</t>
  </si>
  <si>
    <t>Cheatgrass Fresh Immature</t>
  </si>
  <si>
    <t>Citrus Pulp Dried</t>
  </si>
  <si>
    <t>Clover Ladino Fresh</t>
  </si>
  <si>
    <t>Clover Ladino Hay</t>
  </si>
  <si>
    <t>Clover Red Fresh</t>
  </si>
  <si>
    <t>Clover Red Hay</t>
  </si>
  <si>
    <t>Clover Sweet Hay</t>
  </si>
  <si>
    <t>Commercial Supplement, Liquid, 10% CP</t>
  </si>
  <si>
    <t>Commercial Supplement, Liquid, 28% CP</t>
  </si>
  <si>
    <t>Commercial Supplement, Liquid, 32% CP</t>
  </si>
  <si>
    <t>Commercial Supplement, Liquid, 40% CP</t>
  </si>
  <si>
    <t>Commercial Supplement, Liquid, 50% CP</t>
  </si>
  <si>
    <t>Commercial Supplement, Mineral, 1:1</t>
  </si>
  <si>
    <t>Commercial Supplement, Mineral, 1:2</t>
  </si>
  <si>
    <t>Commercial Supplement, Mineral, 2:1</t>
  </si>
  <si>
    <t>Commercial Supplement, Mineral, High Cal</t>
  </si>
  <si>
    <t>Commercial Supplement, Mineral, High Phos</t>
  </si>
  <si>
    <t>Commercial Supplement, Protein, 32:0</t>
  </si>
  <si>
    <t>Commercial Supplement, Protein, 40:0</t>
  </si>
  <si>
    <t>Commercial Supplement, Protein, 40:22</t>
  </si>
  <si>
    <t>Commercial Supplement, Protein, 50:25</t>
  </si>
  <si>
    <t>Commercial Supplement, Protein, 60:40</t>
  </si>
  <si>
    <t>Corn &amp; Cob Meal</t>
  </si>
  <si>
    <t>Corn Gluten Feed</t>
  </si>
  <si>
    <t>Corn Gluten Meal 41% CP</t>
  </si>
  <si>
    <t>Corn Gluten Meal 60% CP</t>
  </si>
  <si>
    <t>Corn Silage Mature Well Eared</t>
  </si>
  <si>
    <t>NEM Adjustment</t>
  </si>
  <si>
    <t>Base:</t>
  </si>
  <si>
    <t>Overall DMI and NEM, CP:</t>
  </si>
  <si>
    <t>Target Average Daily Gain:</t>
  </si>
  <si>
    <t>$/ton CP</t>
  </si>
  <si>
    <t>Total Feed Cost for Feeding Period:</t>
  </si>
  <si>
    <t>Total Feed Cost per Day:</t>
  </si>
  <si>
    <t>$/1000 Mcals Nem</t>
  </si>
  <si>
    <t>Body Condition Score 1</t>
  </si>
  <si>
    <t>Body Condition Score 2</t>
  </si>
  <si>
    <t>Body Condition Score 3</t>
  </si>
  <si>
    <t>Body Condition Score 4</t>
  </si>
  <si>
    <t>Body Condition Score 5</t>
  </si>
  <si>
    <t>Body Condition Score 6</t>
  </si>
  <si>
    <t>Body Condition Score 7</t>
  </si>
  <si>
    <t>Body Condition Score 8</t>
  </si>
  <si>
    <t>Body Condition Score 9</t>
  </si>
  <si>
    <t>Target Body Condition Score (1-9):</t>
  </si>
  <si>
    <r>
      <t>Emaciated</t>
    </r>
    <r>
      <rPr>
        <sz val="10.5"/>
        <rFont val="Arial Narrow"/>
        <family val="2"/>
      </rPr>
      <t>-Bone structure of shoulder, ribs, back, hooks, and pins sharp to touch and easily visible.  Little evidence of fat deposits or muscling.</t>
    </r>
  </si>
  <si>
    <r>
      <t>Thin</t>
    </r>
    <r>
      <rPr>
        <sz val="10.5"/>
        <rFont val="Arial Narrow"/>
        <family val="2"/>
      </rPr>
      <t>-Beginning of fat cover over the loin, back, and foreribs.  Backbone still highly visible.  Processes of the spine can be identified individually by touch and may still be visible.  Spaces between the processes are less pronounced.</t>
    </r>
  </si>
  <si>
    <r>
      <t>Good</t>
    </r>
    <r>
      <rPr>
        <sz val="10.5"/>
        <rFont val="Arial Narrow"/>
        <family val="2"/>
      </rPr>
      <t>-Ribs fully covered, not noticeable to the eye.  Hindquarters plump and full.  Noticable sponginess to covering of foreribs and on each side of the tail head.  Firm pressure now required to feel transverse process.</t>
    </r>
  </si>
  <si>
    <r>
      <t>Moderate</t>
    </r>
    <r>
      <rPr>
        <sz val="10.5"/>
        <rFont val="Arial Narrow"/>
        <family val="2"/>
      </rPr>
      <t>-12th and 13th ribs not visible to the eye unless animal has been shrunk.  The transverse spinous processes can only be felt with firm pressure to feel rounded-not noticeable to the eye.  Spaces between processes not visible and only distinguishable with firm pressure.  Areas on each side of the tail head are fairly well filled but not mounded.</t>
    </r>
  </si>
  <si>
    <r>
      <t>Very Good</t>
    </r>
    <r>
      <rPr>
        <sz val="10.5"/>
        <rFont val="Arial Narrow"/>
        <family val="2"/>
      </rPr>
      <t>-Ends of the spinous processes can only be felt with firm pressure.  Spaces between processes can barely be distinguished at all.  Abundant fat cover on either side of the tail head with some patchiness evident.</t>
    </r>
  </si>
  <si>
    <r>
      <t>Fat</t>
    </r>
    <r>
      <rPr>
        <sz val="10.5"/>
        <rFont val="Arial Narrow"/>
        <family val="2"/>
      </rPr>
      <t>-Animal taking on a smooth, blocky appearance; bone structure disappearing from sight.  Fat cover thick and spongy with patchiness likely.</t>
    </r>
  </si>
  <si>
    <t>Low Production (10 lb peak)</t>
  </si>
  <si>
    <t>Med Production (20 lb peak)</t>
  </si>
  <si>
    <t>High Production (30 lb peak)</t>
  </si>
  <si>
    <t>Additional Feedstuff #1</t>
  </si>
  <si>
    <t>Peak Milk</t>
  </si>
  <si>
    <t xml:space="preserve">Current Milk </t>
  </si>
  <si>
    <t>Lbs</t>
  </si>
  <si>
    <t>% DM</t>
  </si>
  <si>
    <t># months</t>
  </si>
  <si>
    <t>Breeding Heifers</t>
  </si>
  <si>
    <t>Cows</t>
  </si>
  <si>
    <t>Grow-Finish</t>
  </si>
  <si>
    <t>Approx milk production per cow:</t>
  </si>
  <si>
    <t>Standardized CS 5 weight:</t>
  </si>
  <si>
    <t>lact.</t>
  </si>
  <si>
    <t>wt.</t>
  </si>
  <si>
    <t>gest.</t>
  </si>
  <si>
    <t>Stage of Lactation:</t>
  </si>
  <si>
    <t>Stage of Lactation</t>
  </si>
  <si>
    <t>Not Currently Nursing a Calf</t>
  </si>
  <si>
    <t>5 Months</t>
  </si>
  <si>
    <t>Level of Peak Milk Production:</t>
  </si>
  <si>
    <t>Months Pregnant:</t>
  </si>
  <si>
    <t>6 Months</t>
  </si>
  <si>
    <t>7 Months</t>
  </si>
  <si>
    <t>8 Months</t>
  </si>
  <si>
    <t>9 Months</t>
  </si>
  <si>
    <t>4 or Fewer Months</t>
  </si>
  <si>
    <t>One Month</t>
  </si>
  <si>
    <t>Two Months</t>
  </si>
  <si>
    <t>Three Months</t>
  </si>
  <si>
    <t>Four Months</t>
  </si>
  <si>
    <t>Five Months</t>
  </si>
  <si>
    <t>Six or More Months</t>
  </si>
  <si>
    <t>peak</t>
  </si>
  <si>
    <t>mult.</t>
  </si>
  <si>
    <t>Brangus</t>
  </si>
  <si>
    <t>Piedmontese</t>
  </si>
  <si>
    <t>Polled Hereford</t>
  </si>
  <si>
    <t>Santa Gertudis</t>
  </si>
  <si>
    <t>(None)</t>
  </si>
  <si>
    <t>breed 1</t>
  </si>
  <si>
    <t>breed 2</t>
  </si>
  <si>
    <t>Adj.</t>
  </si>
  <si>
    <t>BREED ADJ:</t>
  </si>
  <si>
    <t>Average Temp:</t>
  </si>
  <si>
    <t>Between 05 and 23˚F</t>
  </si>
  <si>
    <t>Between 23 and 41˚F</t>
  </si>
  <si>
    <t>Between 41 and 59˚F</t>
  </si>
  <si>
    <t>Between 59 and 77˚F</t>
  </si>
  <si>
    <t>Between 77 and 95˚F</t>
  </si>
  <si>
    <t>Over 95˚F, with night cooling</t>
  </si>
  <si>
    <t>Over 95˚F, without night cooling</t>
  </si>
  <si>
    <r>
      <t>Less than 5</t>
    </r>
    <r>
      <rPr>
        <sz val="11"/>
        <rFont val="Abadi MT Condensed Light"/>
        <family val="2"/>
      </rPr>
      <t>˚</t>
    </r>
    <r>
      <rPr>
        <sz val="11"/>
        <rFont val="Arial Narrow"/>
        <family val="2"/>
      </rPr>
      <t>F</t>
    </r>
  </si>
  <si>
    <t>ADJUSTMENT:</t>
  </si>
  <si>
    <t>Duration of Feeding Period (number of days):</t>
  </si>
  <si>
    <t>Preg:</t>
  </si>
  <si>
    <t>Non Preg:</t>
  </si>
  <si>
    <t>DMI Equation</t>
  </si>
  <si>
    <t>Eq #</t>
  </si>
  <si>
    <t>Selection:</t>
  </si>
  <si>
    <t>Lactating, 1-Month-Old Calf</t>
  </si>
  <si>
    <t>Lactating, 2-Month-Old Calf</t>
  </si>
  <si>
    <t>Lactating, 3-Month-Old Calf</t>
  </si>
  <si>
    <t>Lactating, 4-Month-Old Calf</t>
  </si>
  <si>
    <t>Lactating, 5-Month-Old Calf</t>
  </si>
  <si>
    <t>Lactating, 6+Month-Old Calf</t>
  </si>
  <si>
    <t>State of Gestation:</t>
  </si>
  <si>
    <t>Stage of Gestation</t>
  </si>
  <si>
    <t>Not Pregnant</t>
  </si>
  <si>
    <t>1-3 Months Pregnant</t>
  </si>
  <si>
    <t>4 Months Pregnant</t>
  </si>
  <si>
    <t>5 Months Pregnant</t>
  </si>
  <si>
    <t>6 Months Pregnant</t>
  </si>
  <si>
    <t>7 Months Pregnant</t>
  </si>
  <si>
    <t>8 Months Pregnant</t>
  </si>
  <si>
    <t>9 Months Pregnant</t>
  </si>
  <si>
    <t>Used for non milking shortbreds, less than 4 mo preg.</t>
  </si>
  <si>
    <t>&lt;4</t>
  </si>
  <si>
    <t>milk lbs</t>
  </si>
  <si>
    <t>DMI (prelim)</t>
  </si>
  <si>
    <t>Exp birthwt</t>
  </si>
  <si>
    <t>BW:</t>
  </si>
  <si>
    <t>Breed 1</t>
  </si>
  <si>
    <t>Breed 2</t>
  </si>
  <si>
    <t>None, None</t>
  </si>
  <si>
    <t>1 breed</t>
  </si>
  <si>
    <t>2 breeds</t>
  </si>
  <si>
    <t>Cal and Phos Requirements</t>
  </si>
  <si>
    <t>maint</t>
  </si>
  <si>
    <t>growth</t>
  </si>
  <si>
    <t>lact</t>
  </si>
  <si>
    <t>preg</t>
  </si>
  <si>
    <t>(last 90 days)</t>
  </si>
  <si>
    <t>cal</t>
  </si>
  <si>
    <t>phos</t>
  </si>
  <si>
    <t>Formula:</t>
  </si>
  <si>
    <t>ADG:</t>
  </si>
  <si>
    <t>Ret. Protein</t>
  </si>
  <si>
    <t>lbs/d</t>
  </si>
  <si>
    <t>g/d</t>
  </si>
  <si>
    <t>cal req:</t>
  </si>
  <si>
    <t>phos req:</t>
  </si>
  <si>
    <t>.6-3.0</t>
  </si>
  <si>
    <t>Grain Dust</t>
  </si>
  <si>
    <t>Fish Meal</t>
  </si>
  <si>
    <t>Grass Silage</t>
  </si>
  <si>
    <t>Guar Meal</t>
  </si>
  <si>
    <t>Hominy Feed</t>
  </si>
  <si>
    <t>Hop Leaves</t>
  </si>
  <si>
    <t>Crambe Meal, Mech.</t>
  </si>
  <si>
    <t>Requirements, Adjusted for Conditions:</t>
  </si>
  <si>
    <t>Maine Anjou</t>
  </si>
  <si>
    <t>U of M Beef Cow Ration Balancer</t>
  </si>
  <si>
    <t>Developed by: Mike Boersma</t>
  </si>
  <si>
    <t>U of M Beef Team</t>
  </si>
  <si>
    <t>boers010@umn.edu</t>
  </si>
  <si>
    <t>University of Minnesota Extension is an equal opportunity educator and employer.</t>
  </si>
  <si>
    <t xml:space="preserve">For Americans with Disabilities Act accommodations, please call (507) 825-6715. </t>
  </si>
  <si>
    <t>Directions for Use:</t>
  </si>
  <si>
    <t xml:space="preserve">Welcome to the U of M Beef Cow Ration Balancer.  </t>
  </si>
  <si>
    <t>Here are brief instructions for each sheet:</t>
  </si>
  <si>
    <t>Ration Balancer Sheet</t>
  </si>
  <si>
    <t>Summary Sheet</t>
  </si>
  <si>
    <t>Cost Analysis Sheet</t>
  </si>
  <si>
    <t>Feedstuffs Sheet</t>
  </si>
  <si>
    <t>Requirements Sheet</t>
  </si>
  <si>
    <t>This program is not intended to be used in place of a professional nutritionist.</t>
  </si>
  <si>
    <t>Some general knowledge in ruminant nutrition will be helpful when working with this program.</t>
  </si>
  <si>
    <t>The Beef Cow Ration Balancer is not designed to replace a professional nutritionist.  Rather, it is designed to be used as a management tool for producers to more closely monitor the nutritional needs and feed costs of their operation.  When used correctly, the program will help producers determine what times of the year require the highest level of nutrition, when they can utilize lower quality, less expensive feeds, and when is the most efficient time to manipulate the body condition of their cows.</t>
  </si>
  <si>
    <t>If you experience any technical difficulties or have questions about the program, please email: boers010@umn.edu.</t>
  </si>
  <si>
    <t>ppm</t>
  </si>
  <si>
    <t>Number of Cows:</t>
  </si>
  <si>
    <t>Average Cow Weight (lbs):</t>
  </si>
  <si>
    <t>Current Body Condition Score (1-9):</t>
  </si>
  <si>
    <t>Average Temperature (Day and Night, ˚F)</t>
  </si>
  <si>
    <t>Breed of Cows:</t>
  </si>
  <si>
    <t>Additional Breed (if any):</t>
  </si>
  <si>
    <t>$/ton</t>
  </si>
  <si>
    <t>condition scores and adjustment factors</t>
  </si>
  <si>
    <t>Suggested Diet Nutrient Densities</t>
  </si>
  <si>
    <t>Animal Type</t>
  </si>
  <si>
    <t>Finishing/Mature wt</t>
  </si>
  <si>
    <t xml:space="preserve"> Current Body Wt</t>
  </si>
  <si>
    <t>ADG</t>
  </si>
  <si>
    <t>DMI</t>
  </si>
  <si>
    <t>Nem</t>
  </si>
  <si>
    <t>Neg</t>
  </si>
  <si>
    <t>%CP</t>
  </si>
  <si>
    <t>Months Pregnant</t>
  </si>
  <si>
    <t>Months Since Calving</t>
  </si>
  <si>
    <t>Blood Meal, Swine/Poultry</t>
  </si>
  <si>
    <t>Bluegrass Straw</t>
  </si>
  <si>
    <t>Bluestem Fresh Mature</t>
  </si>
  <si>
    <t>Bone Meal Steamed, Swine/Poultry</t>
  </si>
  <si>
    <t>Bromegrass Hay</t>
  </si>
  <si>
    <t>Bromegrass Haylage</t>
  </si>
  <si>
    <t>Buckwheat Grain</t>
  </si>
  <si>
    <t>Cactus</t>
  </si>
  <si>
    <t>Calcium Carbonate</t>
  </si>
  <si>
    <t>Canarygrass Hay</t>
  </si>
  <si>
    <t>Canola Meal Solvent</t>
  </si>
  <si>
    <t>Carrot Pulp</t>
  </si>
  <si>
    <t>Carrot Root Fresh</t>
  </si>
  <si>
    <t>Carrot Tops</t>
  </si>
  <si>
    <t>Coconut Meal</t>
  </si>
  <si>
    <t>Coffee Grounds</t>
  </si>
  <si>
    <t>Corn Bran</t>
  </si>
  <si>
    <t>Corn Cannery Waste</t>
  </si>
  <si>
    <t>Corn Cobs</t>
  </si>
  <si>
    <t>Corn Fodder</t>
  </si>
  <si>
    <t>Corn Grain, High Oil</t>
  </si>
  <si>
    <t>Corn Grain, Steam Flaked</t>
  </si>
  <si>
    <t>Corn Screenings</t>
  </si>
  <si>
    <t>Corn Stover Mature (Stalks)</t>
  </si>
  <si>
    <t>Cotton Gin Trash (Burrs)</t>
  </si>
  <si>
    <t>Cottonseed Hulls</t>
  </si>
  <si>
    <t>Cottonseed Meal, Mech. 41% CP</t>
  </si>
  <si>
    <t>Cottonseed Meal, Solvent 41% CP</t>
  </si>
  <si>
    <t>Cottonseed, Whole</t>
  </si>
  <si>
    <t>Cottonseed, Whole, Delinted</t>
  </si>
  <si>
    <t>Cottonseed, Whole, Extruded</t>
  </si>
  <si>
    <t>Crab Waste Meal</t>
  </si>
  <si>
    <t>Crambe Meal, Solvent</t>
  </si>
  <si>
    <t>Cranberry Pulp Meal</t>
  </si>
  <si>
    <t>Crawfish Waste Meal</t>
  </si>
  <si>
    <t>Curacao Phosphate</t>
  </si>
  <si>
    <t>Defluorinated Phosphate</t>
  </si>
  <si>
    <t>Diammonium Phosphate</t>
  </si>
  <si>
    <t>Distillers Corn Stillage</t>
  </si>
  <si>
    <t>Distillers Dried Solubles</t>
  </si>
  <si>
    <t>Dicalcium Phosphate</t>
  </si>
  <si>
    <t>Distillers Grain, Barley</t>
  </si>
  <si>
    <t>Peanut Hulls</t>
  </si>
  <si>
    <t>Pea Vine Silage</t>
  </si>
  <si>
    <t>Pea Vine Hay</t>
  </si>
  <si>
    <t>Pea Straw</t>
  </si>
  <si>
    <t>Orchardgrass Hay</t>
  </si>
  <si>
    <t>Oat Straw</t>
  </si>
  <si>
    <t>Oat Silage</t>
  </si>
  <si>
    <t>Oat Middlings</t>
  </si>
  <si>
    <t>Oat Hulls</t>
  </si>
  <si>
    <t>Oat Hay</t>
  </si>
  <si>
    <t>Oat Groats</t>
  </si>
  <si>
    <t>Oat Grain, Steam Flaked</t>
  </si>
  <si>
    <t>Oat Grain</t>
  </si>
  <si>
    <t>Mono-Dicalcium Phosphate</t>
  </si>
  <si>
    <t>Monoammonium Phosphate</t>
  </si>
  <si>
    <t>Molasses, Cond. Fermentation Solubles</t>
  </si>
  <si>
    <t>Molasses Wood, Hemicellulose</t>
  </si>
  <si>
    <t>Molasses Citrus</t>
  </si>
  <si>
    <t>Molasses Cane</t>
  </si>
  <si>
    <t>Mint Slug Silage</t>
  </si>
  <si>
    <t>Milk, Dry, Skim</t>
  </si>
  <si>
    <t>Meat Meal, Swine/Poultry</t>
  </si>
  <si>
    <t>Meadow Hay</t>
  </si>
  <si>
    <t>Linseed Meal Solvent</t>
  </si>
  <si>
    <t>Limestone Ground</t>
  </si>
  <si>
    <t>Limestone Dolomitic Ground</t>
  </si>
  <si>
    <t>Lespedeza Hay</t>
  </si>
  <si>
    <t>Kudzu Hay</t>
  </si>
  <si>
    <t>Distillers Grain, Corn, Dry</t>
  </si>
  <si>
    <t>Distillers Grain, Corn, Wet</t>
  </si>
  <si>
    <t>Distillers Grain, Sorghum with Solubles</t>
  </si>
  <si>
    <t>Distillers Grain, Sorghum, Dry</t>
  </si>
  <si>
    <t>Distillers Grain, Sorghum, Wet</t>
  </si>
  <si>
    <t>Distillers Grains, Wet</t>
  </si>
  <si>
    <t>Fat, Animal, Poultry, Vegetable</t>
  </si>
  <si>
    <t>Fescue (Red) Straw</t>
  </si>
  <si>
    <t>Grain Screenings</t>
  </si>
  <si>
    <t>Wheatgrass Crested Hay</t>
  </si>
  <si>
    <t>NEM</t>
  </si>
  <si>
    <t>NEG</t>
  </si>
  <si>
    <t>NEL</t>
  </si>
  <si>
    <t>Feedstuffs:</t>
  </si>
  <si>
    <t>TOTALS</t>
  </si>
  <si>
    <t>INTAKE</t>
  </si>
  <si>
    <t>As-Fed</t>
  </si>
  <si>
    <t>$/ton DM</t>
  </si>
  <si>
    <t xml:space="preserve">Price </t>
  </si>
  <si>
    <t>/lb CP</t>
  </si>
  <si>
    <t>$/100 Mcal Nem</t>
  </si>
  <si>
    <t>.15-.4</t>
  </si>
  <si>
    <t xml:space="preserve"> </t>
  </si>
  <si>
    <t>Proposed Diet Cost Analysis</t>
  </si>
  <si>
    <t xml:space="preserve">Angus </t>
  </si>
  <si>
    <t>Hereford</t>
  </si>
  <si>
    <t>Shorthorn</t>
  </si>
  <si>
    <t>Simmental</t>
  </si>
  <si>
    <t>Feed Required for Entire Feeding Period</t>
  </si>
  <si>
    <t>Lbs As Fed</t>
  </si>
  <si>
    <t>Tons As Fed</t>
  </si>
  <si>
    <t>Whole-Herd Feed Requirements</t>
  </si>
  <si>
    <t>Adjusting requirements for Condition Score</t>
  </si>
  <si>
    <t>Condition Score</t>
  </si>
  <si>
    <t>% of CS 5 wt</t>
  </si>
  <si>
    <t>NRC pg 36</t>
  </si>
  <si>
    <t>Each kg of SBW change contains 5.82 Mcal</t>
  </si>
  <si>
    <t>Condition Scores</t>
  </si>
  <si>
    <t>lbs SBW change</t>
  </si>
  <si>
    <t>% of CS 5-current CS</t>
  </si>
  <si>
    <t>% of CS 5-targeted CS</t>
  </si>
  <si>
    <t>difference between current and target CS</t>
  </si>
  <si>
    <t>desired wt change (lbs)</t>
  </si>
  <si>
    <t>Mcal Nem to reach desired wt change</t>
  </si>
  <si>
    <t>Mcal Nem per day to reach target</t>
  </si>
  <si>
    <t>grams of additional protein needed to reach target</t>
  </si>
  <si>
    <t>grams of additional protein needed per day</t>
  </si>
  <si>
    <t>Assumes 5.82 Mcal Nem in each kg of SBW and 81g CP per kg SBW</t>
  </si>
  <si>
    <t>NRC pg 35</t>
  </si>
  <si>
    <t>Braford</t>
  </si>
  <si>
    <t>Brahman</t>
  </si>
  <si>
    <t>Braunvieh</t>
  </si>
  <si>
    <t>Charolais</t>
  </si>
  <si>
    <t>Chianina</t>
  </si>
  <si>
    <t>Devon</t>
  </si>
  <si>
    <t>Galloway</t>
  </si>
  <si>
    <t>Gelbvieh</t>
  </si>
  <si>
    <t>Holstein</t>
  </si>
  <si>
    <t>Jersey</t>
  </si>
  <si>
    <t>Limousin</t>
  </si>
  <si>
    <t>Longhorn</t>
  </si>
  <si>
    <t>Nellore</t>
  </si>
  <si>
    <t>Pinzgauer</t>
  </si>
  <si>
    <t>Red Poll</t>
  </si>
  <si>
    <t>Sahiwal</t>
  </si>
  <si>
    <t>Salers</t>
  </si>
  <si>
    <t>South Devon</t>
  </si>
  <si>
    <t>Tarentaise</t>
  </si>
  <si>
    <t>Average Starting Condition Score:</t>
  </si>
  <si>
    <t>Target Condition Score:</t>
  </si>
  <si>
    <t>Average Beginning Weight:</t>
  </si>
  <si>
    <t>Average Target Weight:</t>
  </si>
  <si>
    <t>Daily Feed Delivery</t>
  </si>
  <si>
    <t>Entire Period</t>
  </si>
  <si>
    <t>lbs</t>
  </si>
  <si>
    <t>lbs/day</t>
  </si>
  <si>
    <t>Performance Summary</t>
  </si>
  <si>
    <t>TOTAL:</t>
  </si>
  <si>
    <t>Cost Summary</t>
  </si>
  <si>
    <t>MINERALS</t>
  </si>
  <si>
    <t>FEEDSTUFFS:</t>
  </si>
  <si>
    <t>Alfalfa Cubes</t>
  </si>
  <si>
    <t>Alfalfa Fresh</t>
  </si>
  <si>
    <t>Alfalfa Leaf Meal</t>
  </si>
  <si>
    <t>Alfalfa Seed Screenings</t>
  </si>
  <si>
    <t>Alfalfa Silage</t>
  </si>
  <si>
    <t>Alfalfa Stems</t>
  </si>
  <si>
    <t>Almond Hulls</t>
  </si>
  <si>
    <t>Ammonium Chloride</t>
  </si>
  <si>
    <t>Ammonium Sulfate</t>
  </si>
  <si>
    <t>Artichoke Tops (Jerusalem)</t>
  </si>
  <si>
    <t>Avocado Seed Meal</t>
  </si>
  <si>
    <t>Bahiagrass Hay</t>
  </si>
  <si>
    <t>Barley Grain</t>
  </si>
  <si>
    <t>Barley Grain Screenings</t>
  </si>
  <si>
    <t>Barley Grain, Steam Flaked</t>
  </si>
  <si>
    <t>Barley Hay</t>
  </si>
  <si>
    <t>Barley Silage</t>
  </si>
  <si>
    <t>Barley Straw</t>
  </si>
  <si>
    <t>Beans Navy Cull</t>
  </si>
  <si>
    <t>Biuret</t>
  </si>
  <si>
    <t>Sulfur</t>
  </si>
  <si>
    <t>Undegradable Intake Protein (by-pass protein).</t>
  </si>
  <si>
    <t>Zinc</t>
  </si>
  <si>
    <t>Net Energy required/available for gain.</t>
  </si>
  <si>
    <t>Net Energy required/available for lactation.</t>
  </si>
  <si>
    <t>Net Energy required/available for body maintainance.</t>
  </si>
  <si>
    <t>Explanations of Commonly Used Acronyms</t>
  </si>
  <si>
    <t>This sheet includes brief definitions for many of the acronyms used in this program.</t>
  </si>
  <si>
    <t xml:space="preserve">Total Digestible Nutrients.  One way to measure the energy content of feed.  </t>
  </si>
  <si>
    <t>-</t>
  </si>
  <si>
    <t>DM</t>
  </si>
  <si>
    <t>TDN</t>
  </si>
  <si>
    <t>CP</t>
  </si>
  <si>
    <t>Ca</t>
  </si>
  <si>
    <t>P</t>
  </si>
  <si>
    <t>Rye Grain</t>
  </si>
  <si>
    <t>Rye Straw</t>
  </si>
  <si>
    <t>Soybean Hay</t>
  </si>
  <si>
    <t>Wheat Bran</t>
  </si>
  <si>
    <t>CA</t>
  </si>
  <si>
    <t>%</t>
  </si>
  <si>
    <t>S</t>
  </si>
  <si>
    <t>FAT</t>
  </si>
  <si>
    <t>FIBER</t>
  </si>
  <si>
    <t>Intake</t>
  </si>
  <si>
    <t>Price</t>
  </si>
  <si>
    <t>($/ton)</t>
  </si>
  <si>
    <t>$/hd/day</t>
  </si>
  <si>
    <t>(As Fed)</t>
  </si>
  <si>
    <t>(DM)</t>
  </si>
  <si>
    <t>% Diet</t>
  </si>
  <si>
    <t>Proposed Diet:</t>
  </si>
  <si>
    <t>ENERGY</t>
  </si>
  <si>
    <t>PROTEIN</t>
  </si>
  <si>
    <t>FEEDSTUFF</t>
  </si>
  <si>
    <t>UIP</t>
  </si>
  <si>
    <t>CF</t>
  </si>
  <si>
    <t>ADF</t>
  </si>
  <si>
    <t>NDF</t>
  </si>
  <si>
    <t>eNDF</t>
  </si>
  <si>
    <t>EE</t>
  </si>
  <si>
    <t>ASH</t>
  </si>
  <si>
    <t>K</t>
  </si>
  <si>
    <t>CL</t>
  </si>
  <si>
    <t>Zn</t>
  </si>
  <si>
    <t>Mcal/cwt</t>
  </si>
  <si>
    <t>Distillers Grain, Corn with Solubles</t>
  </si>
  <si>
    <t>Grass Hay</t>
  </si>
  <si>
    <t>Peas Cull</t>
  </si>
  <si>
    <t>Peanut Meal Solvent</t>
  </si>
  <si>
    <t>Peanut Skins</t>
  </si>
  <si>
    <t>Pearl Millet Grain</t>
  </si>
  <si>
    <t>Pineapple Greenchop</t>
  </si>
  <si>
    <t>Pineapple Bran</t>
  </si>
  <si>
    <t>Pineapple Presscake</t>
  </si>
  <si>
    <t>Potato Vine Silage</t>
  </si>
  <si>
    <t>Potatoes Cull</t>
  </si>
  <si>
    <t>Prairie Hay</t>
  </si>
  <si>
    <t>Pumpkins, Cull</t>
  </si>
  <si>
    <t>Rice Straw</t>
  </si>
  <si>
    <t>Rice Grain</t>
  </si>
  <si>
    <t>Rice Polishings</t>
  </si>
  <si>
    <t>Rice Bran</t>
  </si>
  <si>
    <t>Rice Hulls</t>
  </si>
  <si>
    <t>Shrimp Waste Meal</t>
  </si>
  <si>
    <t>Sodium Tripolyphosphate</t>
  </si>
  <si>
    <t>Sorghum Stover</t>
  </si>
  <si>
    <t>Sorghum Silage</t>
  </si>
  <si>
    <t>Soybean Straw</t>
  </si>
  <si>
    <t>Soybeans Whole</t>
  </si>
  <si>
    <t>Soybeans Whole, Extruded</t>
  </si>
  <si>
    <t>Soybeans Whole, Roasted</t>
  </si>
  <si>
    <t>Soybean Hulls</t>
  </si>
  <si>
    <t>Soybean Mill Feed</t>
  </si>
  <si>
    <t>Spelt Grain</t>
  </si>
  <si>
    <t>Sunflower Seed Meal Solvent</t>
  </si>
  <si>
    <t>Sunflower Seed Meal with Hulls</t>
  </si>
  <si>
    <t>Sunflower Seed Hulls</t>
  </si>
  <si>
    <t>Sugar Cane Bagasse</t>
  </si>
  <si>
    <t>Tapioca Meal</t>
  </si>
  <si>
    <t>Timothy Silage</t>
  </si>
  <si>
    <t>Triticale Hay</t>
  </si>
  <si>
    <t>Triticale Silage</t>
  </si>
  <si>
    <t>Triticale Grain</t>
  </si>
  <si>
    <t>Turnip Tops (Purple)</t>
  </si>
  <si>
    <t>Turnip Roots</t>
  </si>
  <si>
    <t>Vetch Hay</t>
  </si>
  <si>
    <t>Wheat Fresh, Pasture</t>
  </si>
  <si>
    <t>Wheat Hay</t>
  </si>
  <si>
    <t>Wheat Silage</t>
  </si>
  <si>
    <t>Wheat Straw</t>
  </si>
  <si>
    <t>Wheat Grain</t>
  </si>
  <si>
    <t>Wheat Grain, Steam Flaked</t>
  </si>
  <si>
    <t>Wheat Middlings</t>
  </si>
  <si>
    <t>Wheat Mill Run</t>
  </si>
  <si>
    <t>Wheat Shorts</t>
  </si>
  <si>
    <r>
      <t xml:space="preserve">This sheet summarizes the feed required each day for the entire herd as well as the amount of each feedstuff required for the entire feeding period.  It also lists the current weight, target weight, and the projected performance of the animals.  </t>
    </r>
    <r>
      <rPr>
        <u val="single"/>
        <sz val="11"/>
        <color indexed="16"/>
        <rFont val="Arial Narrow"/>
        <family val="2"/>
      </rPr>
      <t>No information is entered on this sheet.</t>
    </r>
  </si>
  <si>
    <r>
      <t xml:space="preserve">This sheet lists the requirements for the different stages of production.  These values are "book values" and will be adjusted on the Ration Balancer sheet according to data entered there.  </t>
    </r>
    <r>
      <rPr>
        <u val="single"/>
        <sz val="11"/>
        <color indexed="16"/>
        <rFont val="Arial Narrow"/>
        <family val="2"/>
      </rPr>
      <t>No information is entered on this sheet.</t>
    </r>
  </si>
  <si>
    <r>
      <t xml:space="preserve">This sheet includes a drawing and a brief description of each of the Body Condition Scores.  It should be used as a reference when determining body condition scores of your cows.  Clicking on the blue box at the top of the sheet will bring you directly to the Ration Balancer Sheet where Body Condition Scores are entered. </t>
    </r>
    <r>
      <rPr>
        <u val="single"/>
        <sz val="11"/>
        <color indexed="16"/>
        <rFont val="Arial Narrow"/>
        <family val="2"/>
      </rPr>
      <t xml:space="preserve"> No information is entered on this sheet.</t>
    </r>
  </si>
  <si>
    <t>Definitions Sheet</t>
  </si>
  <si>
    <t>Mcals</t>
  </si>
  <si>
    <t>cwt</t>
  </si>
  <si>
    <t>BCS</t>
  </si>
  <si>
    <t>$/head/day</t>
  </si>
  <si>
    <t>Feed Cost per head per Day:</t>
  </si>
  <si>
    <t>ZN</t>
  </si>
  <si>
    <t>Descriptions based on National Research Council's "Nutrient Requirements of Beef Cattle", 2000 update.</t>
  </si>
  <si>
    <t>Bermudagrass Coastal Dehydrated</t>
  </si>
  <si>
    <t>Corn Grain, High Moisture</t>
  </si>
  <si>
    <t>Corn Grain, Hi-Lysine</t>
  </si>
  <si>
    <t>Corn Grain, Rolled</t>
  </si>
  <si>
    <t>Corn Grain, Whole</t>
  </si>
  <si>
    <t>Neutral Detergent Fiber.  This is a value comprised of ADF plus hemi cellulose, another insoluble fiber.</t>
  </si>
  <si>
    <t>As the feed is delievered to the animal-includes water portion of the feed.</t>
  </si>
  <si>
    <t>Dry Matter.  The percentage of the feed that is not water.</t>
  </si>
  <si>
    <t>Average Daily Gain</t>
  </si>
  <si>
    <t>Body Condition Score</t>
  </si>
  <si>
    <t>Calcium</t>
  </si>
  <si>
    <t>Chlorine</t>
  </si>
  <si>
    <t xml:space="preserve">Crude Fiber  </t>
  </si>
  <si>
    <t>Crude Protein</t>
  </si>
  <si>
    <t>Hundred Weight.  Equal to 100 pounds.</t>
  </si>
  <si>
    <t>Dry Matter Intake.  Expressed in pounds.</t>
  </si>
  <si>
    <t>Ether Extract (Fat).</t>
  </si>
  <si>
    <t>Effective Neutral Detergent Fiber.  Closely related to particle size of the feed.</t>
  </si>
  <si>
    <t xml:space="preserve">Potassium. </t>
  </si>
  <si>
    <t>Megacalories.  Equal to 1,000,000 calories.</t>
  </si>
  <si>
    <t>Acid Detergent Fiber.  A measure of cellulose and lignin in plant tissue.</t>
  </si>
  <si>
    <t>Phosphorus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</si>
</sst>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numFmt numFmtId="169" formatCode="0.00_)"/>
    <numFmt numFmtId="170" formatCode="&quot;$&quot;#,##0.00"/>
    <numFmt numFmtId="171" formatCode="0E+00_)"/>
    <numFmt numFmtId="172" formatCode="0.0_)"/>
    <numFmt numFmtId="173" formatCode="General_)"/>
    <numFmt numFmtId="174" formatCode="0.0"/>
    <numFmt numFmtId="175" formatCode="&quot;$&quot;#,##0"/>
    <numFmt numFmtId="176" formatCode="0.000"/>
    <numFmt numFmtId="177" formatCode="[$-409]dddd\,\ mmmm\ dd\,\ yyyy"/>
    <numFmt numFmtId="178" formatCode="m/d/yy;@"/>
    <numFmt numFmtId="179" formatCode="0.000000"/>
    <numFmt numFmtId="180" formatCode="0.00000"/>
    <numFmt numFmtId="181" formatCode="0.0000"/>
    <numFmt numFmtId="182" formatCode="0.0000000"/>
    <numFmt numFmtId="183" formatCode="0.00000000"/>
  </numFmts>
  <fonts count="89">
    <font>
      <sz val="10"/>
      <name val="Arial"/>
      <family val="0"/>
    </font>
    <font>
      <sz val="8"/>
      <name val="Arial"/>
      <family val="2"/>
    </font>
    <font>
      <u val="single"/>
      <sz val="10"/>
      <color indexed="12"/>
      <name val="Arial"/>
      <family val="2"/>
    </font>
    <font>
      <u val="single"/>
      <sz val="10"/>
      <color indexed="36"/>
      <name val="Arial"/>
      <family val="2"/>
    </font>
    <font>
      <b/>
      <sz val="8"/>
      <name val="Verdana"/>
      <family val="2"/>
    </font>
    <font>
      <b/>
      <sz val="11"/>
      <color indexed="16"/>
      <name val="Arial Narrow"/>
      <family val="2"/>
    </font>
    <font>
      <sz val="11"/>
      <name val="Arial Narrow"/>
      <family val="2"/>
    </font>
    <font>
      <sz val="10"/>
      <color indexed="16"/>
      <name val="Arial"/>
      <family val="2"/>
    </font>
    <font>
      <b/>
      <u val="single"/>
      <sz val="14"/>
      <color indexed="16"/>
      <name val="Arial Narrow"/>
      <family val="2"/>
    </font>
    <font>
      <b/>
      <sz val="12"/>
      <color indexed="16"/>
      <name val="Arial Narrow"/>
      <family val="2"/>
    </font>
    <font>
      <b/>
      <u val="single"/>
      <sz val="12"/>
      <color indexed="16"/>
      <name val="Arial Narrow"/>
      <family val="2"/>
    </font>
    <font>
      <b/>
      <sz val="10"/>
      <color indexed="16"/>
      <name val="Arial Narrow"/>
      <family val="2"/>
    </font>
    <font>
      <sz val="9"/>
      <color indexed="16"/>
      <name val="Arial Narrow"/>
      <family val="2"/>
    </font>
    <font>
      <sz val="8"/>
      <color indexed="16"/>
      <name val="Helv"/>
      <family val="0"/>
    </font>
    <font>
      <sz val="11"/>
      <color indexed="16"/>
      <name val="Arial Narrow"/>
      <family val="2"/>
    </font>
    <font>
      <sz val="11"/>
      <color indexed="16"/>
      <name val="Arial"/>
      <family val="2"/>
    </font>
    <font>
      <sz val="10"/>
      <color indexed="16"/>
      <name val="Arial Narrow"/>
      <family val="2"/>
    </font>
    <font>
      <b/>
      <sz val="9"/>
      <color indexed="16"/>
      <name val="Arial Narrow"/>
      <family val="2"/>
    </font>
    <font>
      <b/>
      <sz val="10"/>
      <color indexed="16"/>
      <name val="Arial"/>
      <family val="2"/>
    </font>
    <font>
      <sz val="12"/>
      <color indexed="16"/>
      <name val="Arial"/>
      <family val="2"/>
    </font>
    <font>
      <b/>
      <sz val="9"/>
      <color indexed="16"/>
      <name val="Arial"/>
      <family val="2"/>
    </font>
    <font>
      <u val="single"/>
      <sz val="10"/>
      <color indexed="16"/>
      <name val="Arial Narrow"/>
      <family val="2"/>
    </font>
    <font>
      <sz val="11"/>
      <name val="Arial"/>
      <family val="2"/>
    </font>
    <font>
      <sz val="10"/>
      <color indexed="16"/>
      <name val="Helv"/>
      <family val="0"/>
    </font>
    <font>
      <b/>
      <sz val="12"/>
      <color indexed="16"/>
      <name val="Arial Black"/>
      <family val="2"/>
    </font>
    <font>
      <b/>
      <sz val="11"/>
      <color indexed="16"/>
      <name val="Arial"/>
      <family val="2"/>
    </font>
    <font>
      <b/>
      <sz val="10"/>
      <name val="Arial"/>
      <family val="2"/>
    </font>
    <font>
      <b/>
      <sz val="11"/>
      <name val="Arial"/>
      <family val="2"/>
    </font>
    <font>
      <sz val="11"/>
      <name val="Abadi MT Condensed Light"/>
      <family val="2"/>
    </font>
    <font>
      <b/>
      <i/>
      <u val="single"/>
      <sz val="10"/>
      <name val="Arial"/>
      <family val="2"/>
    </font>
    <font>
      <sz val="10"/>
      <name val="Arial Narrow"/>
      <family val="2"/>
    </font>
    <font>
      <i/>
      <u val="single"/>
      <sz val="10"/>
      <name val="Arial Narrow"/>
      <family val="2"/>
    </font>
    <font>
      <b/>
      <sz val="10.5"/>
      <name val="Arial Narrow"/>
      <family val="2"/>
    </font>
    <font>
      <sz val="10.5"/>
      <name val="Arial Narrow"/>
      <family val="2"/>
    </font>
    <font>
      <u val="single"/>
      <sz val="11"/>
      <color indexed="16"/>
      <name val="Arial Narrow"/>
      <family val="2"/>
    </font>
    <font>
      <b/>
      <u val="single"/>
      <sz val="12"/>
      <color indexed="16"/>
      <name val="Arial"/>
      <family val="2"/>
    </font>
    <font>
      <b/>
      <sz val="11"/>
      <color indexed="51"/>
      <name val="Arial Narrow"/>
      <family val="2"/>
    </font>
    <font>
      <u val="single"/>
      <sz val="10"/>
      <color indexed="12"/>
      <name val="Arial Narrow"/>
      <family val="2"/>
    </font>
    <font>
      <b/>
      <sz val="14"/>
      <color indexed="16"/>
      <name val="Arial Narrow"/>
      <family val="2"/>
    </font>
    <font>
      <b/>
      <sz val="14"/>
      <name val="Arial"/>
      <family val="2"/>
    </font>
    <font>
      <b/>
      <u val="single"/>
      <sz val="10"/>
      <color indexed="16"/>
      <name val="Arial Narrow"/>
      <family val="2"/>
    </font>
    <font>
      <sz val="9"/>
      <color indexed="43"/>
      <name val="Arial Narrow"/>
      <family val="2"/>
    </font>
    <font>
      <sz val="10"/>
      <color indexed="43"/>
      <name val="Arial Narrow"/>
      <family val="2"/>
    </font>
    <font>
      <sz val="10"/>
      <color indexed="59"/>
      <name val="Arial Narrow"/>
      <family val="2"/>
    </font>
    <font>
      <sz val="9"/>
      <color indexed="59"/>
      <name val="Arial Narrow"/>
      <family val="2"/>
    </font>
    <font>
      <b/>
      <sz val="9"/>
      <color indexed="59"/>
      <name val="Arial Narrow"/>
      <family val="2"/>
    </font>
    <font>
      <b/>
      <sz val="8"/>
      <color indexed="59"/>
      <name val="Arial Narrow"/>
      <family val="2"/>
    </font>
    <font>
      <b/>
      <sz val="8"/>
      <name val="Arial Narrow"/>
      <family val="2"/>
    </font>
    <font>
      <b/>
      <u val="single"/>
      <sz val="11"/>
      <color indexed="16"/>
      <name val="Arial Narrow"/>
      <family val="2"/>
    </font>
    <font>
      <b/>
      <i/>
      <u val="single"/>
      <sz val="11"/>
      <color indexed="16"/>
      <name val="Arial Narrow"/>
      <family val="2"/>
    </font>
    <font>
      <b/>
      <i/>
      <u val="single"/>
      <sz val="11"/>
      <color indexed="16"/>
      <name val="Arial Black"/>
      <family val="2"/>
    </font>
    <font>
      <b/>
      <i/>
      <u val="single"/>
      <sz val="11"/>
      <color indexed="16"/>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8"/>
      <name val="Tahoma"/>
      <family val="2"/>
    </font>
    <font>
      <b/>
      <sz val="10"/>
      <color indexed="18"/>
      <name val="Arial"/>
      <family val="0"/>
    </font>
    <font>
      <b/>
      <sz val="16"/>
      <color indexed="1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6"/>
        <bgColor indexed="64"/>
      </patternFill>
    </fill>
    <fill>
      <patternFill patternType="solid">
        <fgColor indexed="51"/>
        <bgColor indexed="64"/>
      </patternFill>
    </fill>
    <fill>
      <patternFill patternType="solid">
        <fgColor indexed="15"/>
        <bgColor indexed="64"/>
      </patternFill>
    </fill>
    <fill>
      <patternFill patternType="solid">
        <fgColor indexed="46"/>
        <bgColor indexed="64"/>
      </patternFill>
    </fill>
    <fill>
      <patternFill patternType="solid">
        <fgColor indexed="52"/>
        <bgColor indexed="64"/>
      </patternFill>
    </fill>
    <fill>
      <patternFill patternType="solid">
        <fgColor indexed="47"/>
        <bgColor indexed="64"/>
      </patternFill>
    </fill>
    <fill>
      <patternFill patternType="solid">
        <fgColor indexed="41"/>
        <bgColor indexed="64"/>
      </patternFill>
    </fill>
    <fill>
      <patternFill patternType="solid">
        <fgColor indexed="61"/>
        <bgColor indexed="64"/>
      </patternFill>
    </fill>
    <fill>
      <patternFill patternType="solid">
        <fgColor indexed="45"/>
        <bgColor indexed="64"/>
      </patternFill>
    </fill>
    <fill>
      <patternFill patternType="solid">
        <fgColor indexed="44"/>
        <bgColor indexed="64"/>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color indexed="63"/>
      </left>
      <right style="thin"/>
      <top style="medium"/>
      <bottom style="thin"/>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color indexed="51"/>
      </top>
      <bottom>
        <color indexed="63"/>
      </bottom>
    </border>
    <border>
      <left>
        <color indexed="63"/>
      </left>
      <right>
        <color indexed="63"/>
      </right>
      <top style="thin"/>
      <bottom style="double"/>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color indexed="63"/>
      </left>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00">
    <xf numFmtId="0" fontId="0" fillId="0" borderId="0" xfId="0" applyAlignment="1">
      <alignment/>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6" fillId="0" borderId="0" xfId="0" applyFont="1" applyAlignment="1">
      <alignment/>
    </xf>
    <xf numFmtId="0" fontId="7" fillId="33" borderId="0" xfId="0" applyFont="1" applyFill="1" applyAlignment="1">
      <alignment/>
    </xf>
    <xf numFmtId="0" fontId="8" fillId="33" borderId="0" xfId="0" applyFont="1" applyFill="1" applyAlignment="1">
      <alignment/>
    </xf>
    <xf numFmtId="0" fontId="9" fillId="33" borderId="0" xfId="0" applyFont="1" applyFill="1" applyAlignment="1">
      <alignment/>
    </xf>
    <xf numFmtId="0" fontId="9" fillId="33" borderId="0" xfId="53" applyFont="1" applyFill="1" applyAlignment="1" applyProtection="1">
      <alignment/>
      <protection/>
    </xf>
    <xf numFmtId="0" fontId="10" fillId="33" borderId="0" xfId="0" applyFont="1" applyFill="1" applyAlignment="1">
      <alignment wrapText="1"/>
    </xf>
    <xf numFmtId="0" fontId="12" fillId="33" borderId="0" xfId="0" applyFont="1" applyFill="1" applyAlignment="1">
      <alignment/>
    </xf>
    <xf numFmtId="0" fontId="13" fillId="33" borderId="0" xfId="0" applyFont="1" applyFill="1" applyAlignment="1">
      <alignment/>
    </xf>
    <xf numFmtId="0" fontId="5" fillId="33" borderId="0" xfId="0" applyFont="1" applyFill="1" applyAlignment="1">
      <alignment/>
    </xf>
    <xf numFmtId="0" fontId="14" fillId="33" borderId="0" xfId="0" applyFont="1" applyFill="1" applyAlignment="1">
      <alignment/>
    </xf>
    <xf numFmtId="0" fontId="5"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7" fillId="33" borderId="0" xfId="0" applyFont="1" applyFill="1" applyBorder="1" applyAlignment="1">
      <alignment/>
    </xf>
    <xf numFmtId="0" fontId="17" fillId="33" borderId="0" xfId="0" applyFont="1" applyFill="1" applyAlignment="1">
      <alignment/>
    </xf>
    <xf numFmtId="0" fontId="5" fillId="33" borderId="10" xfId="0" applyFont="1" applyFill="1" applyBorder="1" applyAlignment="1">
      <alignment horizontal="center"/>
    </xf>
    <xf numFmtId="0" fontId="5" fillId="33" borderId="0" xfId="0" applyFont="1" applyFill="1" applyBorder="1" applyAlignment="1" applyProtection="1">
      <alignment horizontal="center" vertical="center"/>
      <protection/>
    </xf>
    <xf numFmtId="0" fontId="5" fillId="33" borderId="0" xfId="0" applyFont="1" applyFill="1" applyAlignment="1" applyProtection="1">
      <alignment horizontal="center"/>
      <protection/>
    </xf>
    <xf numFmtId="0" fontId="5" fillId="33" borderId="0" xfId="0" applyFont="1" applyFill="1" applyAlignment="1">
      <alignment horizontal="left" vertical="center"/>
    </xf>
    <xf numFmtId="0" fontId="14" fillId="33" borderId="0" xfId="0" applyFont="1" applyFill="1" applyAlignment="1">
      <alignment horizontal="left" vertical="center"/>
    </xf>
    <xf numFmtId="0" fontId="9" fillId="33" borderId="0" xfId="0" applyFont="1" applyFill="1" applyAlignment="1">
      <alignment horizontal="left" vertical="center"/>
    </xf>
    <xf numFmtId="0" fontId="19" fillId="33" borderId="0" xfId="0" applyFont="1" applyFill="1" applyAlignment="1">
      <alignment horizontal="left" vertical="center"/>
    </xf>
    <xf numFmtId="170" fontId="14" fillId="33" borderId="0" xfId="0" applyNumberFormat="1" applyFont="1" applyFill="1" applyBorder="1" applyAlignment="1">
      <alignment horizontal="center" vertical="center"/>
    </xf>
    <xf numFmtId="170" fontId="5" fillId="33" borderId="0" xfId="0" applyNumberFormat="1" applyFont="1" applyFill="1" applyBorder="1" applyAlignment="1">
      <alignment horizontal="center" vertical="center"/>
    </xf>
    <xf numFmtId="0" fontId="5" fillId="33" borderId="0" xfId="0" applyFont="1" applyFill="1" applyAlignment="1">
      <alignment/>
    </xf>
    <xf numFmtId="0" fontId="17" fillId="33" borderId="0" xfId="0" applyFont="1" applyFill="1" applyBorder="1" applyAlignment="1">
      <alignment/>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16" fillId="33" borderId="0" xfId="0" applyFont="1" applyFill="1" applyBorder="1" applyAlignment="1">
      <alignment/>
    </xf>
    <xf numFmtId="0" fontId="21" fillId="33" borderId="0" xfId="0" applyFont="1" applyFill="1" applyAlignment="1">
      <alignment/>
    </xf>
    <xf numFmtId="0" fontId="16" fillId="33" borderId="0" xfId="53" applyFont="1" applyFill="1" applyAlignment="1" applyProtection="1">
      <alignment/>
      <protection/>
    </xf>
    <xf numFmtId="0" fontId="16" fillId="33" borderId="10" xfId="0" applyFont="1" applyFill="1" applyBorder="1" applyAlignment="1">
      <alignment/>
    </xf>
    <xf numFmtId="2" fontId="16" fillId="33" borderId="0" xfId="0" applyNumberFormat="1" applyFont="1" applyFill="1" applyBorder="1" applyAlignment="1">
      <alignment horizontal="center" vertical="center" wrapText="1"/>
    </xf>
    <xf numFmtId="0" fontId="16" fillId="33" borderId="0" xfId="0" applyFont="1" applyFill="1" applyBorder="1" applyAlignment="1">
      <alignment horizontal="center" vertical="center" wrapText="1"/>
    </xf>
    <xf numFmtId="0" fontId="22" fillId="0" borderId="0" xfId="0" applyFont="1" applyAlignment="1">
      <alignment/>
    </xf>
    <xf numFmtId="0" fontId="0" fillId="34" borderId="0" xfId="0" applyFont="1" applyFill="1" applyAlignment="1">
      <alignment/>
    </xf>
    <xf numFmtId="0" fontId="0" fillId="0" borderId="0" xfId="0" applyFont="1" applyAlignment="1">
      <alignment/>
    </xf>
    <xf numFmtId="0" fontId="11" fillId="33" borderId="0" xfId="0" applyFont="1" applyFill="1" applyAlignment="1">
      <alignment/>
    </xf>
    <xf numFmtId="2" fontId="11" fillId="33" borderId="0" xfId="0" applyNumberFormat="1" applyFont="1" applyFill="1" applyBorder="1" applyAlignment="1" applyProtection="1">
      <alignment horizontal="left" vertical="center"/>
      <protection/>
    </xf>
    <xf numFmtId="174" fontId="11" fillId="33" borderId="0" xfId="0" applyNumberFormat="1" applyFont="1" applyFill="1" applyBorder="1" applyAlignment="1" applyProtection="1">
      <alignment horizontal="center" vertical="center" wrapText="1"/>
      <protection/>
    </xf>
    <xf numFmtId="2" fontId="11" fillId="33" borderId="0" xfId="0" applyNumberFormat="1" applyFont="1" applyFill="1" applyBorder="1" applyAlignment="1" applyProtection="1">
      <alignment horizontal="center" vertical="center" wrapText="1"/>
      <protection/>
    </xf>
    <xf numFmtId="0" fontId="11" fillId="33" borderId="0" xfId="0" applyFont="1" applyFill="1" applyAlignment="1" applyProtection="1">
      <alignment/>
      <protection/>
    </xf>
    <xf numFmtId="0" fontId="18" fillId="33" borderId="0" xfId="0" applyFont="1" applyFill="1" applyAlignment="1">
      <alignment horizontal="center" vertical="center" wrapText="1"/>
    </xf>
    <xf numFmtId="0" fontId="18" fillId="33" borderId="0" xfId="0" applyFont="1" applyFill="1" applyBorder="1" applyAlignment="1">
      <alignment horizontal="center" vertical="center" wrapText="1"/>
    </xf>
    <xf numFmtId="0" fontId="16" fillId="33" borderId="10" xfId="0" applyFont="1" applyFill="1" applyBorder="1" applyAlignment="1">
      <alignment horizontal="center" vertical="center" wrapText="1"/>
    </xf>
    <xf numFmtId="2" fontId="7" fillId="33" borderId="0" xfId="0" applyNumberFormat="1" applyFont="1" applyFill="1" applyAlignment="1">
      <alignment horizontal="center" vertical="center"/>
    </xf>
    <xf numFmtId="0" fontId="7" fillId="33" borderId="10" xfId="0" applyFont="1" applyFill="1" applyBorder="1" applyAlignment="1">
      <alignment horizontal="center" vertical="center"/>
    </xf>
    <xf numFmtId="2" fontId="7" fillId="33" borderId="10" xfId="0" applyNumberFormat="1" applyFont="1" applyFill="1" applyBorder="1" applyAlignment="1">
      <alignment horizontal="center" vertical="center"/>
    </xf>
    <xf numFmtId="2" fontId="7" fillId="33" borderId="0" xfId="0" applyNumberFormat="1" applyFont="1" applyFill="1" applyBorder="1" applyAlignment="1">
      <alignment horizontal="center" vertical="center"/>
    </xf>
    <xf numFmtId="174" fontId="7" fillId="33" borderId="0" xfId="0" applyNumberFormat="1" applyFont="1" applyFill="1" applyAlignment="1">
      <alignment horizontal="center" vertical="center"/>
    </xf>
    <xf numFmtId="174" fontId="7" fillId="33" borderId="10" xfId="0" applyNumberFormat="1" applyFont="1" applyFill="1" applyBorder="1" applyAlignment="1">
      <alignment horizontal="center" vertical="center"/>
    </xf>
    <xf numFmtId="174" fontId="7" fillId="33" borderId="0" xfId="0" applyNumberFormat="1" applyFont="1" applyFill="1" applyBorder="1" applyAlignment="1">
      <alignment horizontal="center" vertical="center"/>
    </xf>
    <xf numFmtId="0" fontId="0" fillId="33" borderId="0" xfId="0" applyFill="1" applyAlignment="1">
      <alignment horizontal="center" vertical="center"/>
    </xf>
    <xf numFmtId="0" fontId="0" fillId="33" borderId="0" xfId="0" applyFill="1" applyBorder="1" applyAlignment="1">
      <alignment/>
    </xf>
    <xf numFmtId="0" fontId="0" fillId="0" borderId="11" xfId="0" applyBorder="1" applyAlignment="1">
      <alignment/>
    </xf>
    <xf numFmtId="0" fontId="0" fillId="33" borderId="0" xfId="0" applyFill="1" applyBorder="1" applyAlignment="1">
      <alignment/>
    </xf>
    <xf numFmtId="0" fontId="0" fillId="33" borderId="0" xfId="0" applyFill="1" applyBorder="1" applyAlignment="1">
      <alignment horizontal="left" vertical="top" wrapText="1"/>
    </xf>
    <xf numFmtId="0" fontId="31" fillId="33" borderId="0" xfId="0" applyFont="1" applyFill="1" applyBorder="1" applyAlignment="1">
      <alignment/>
    </xf>
    <xf numFmtId="0" fontId="0" fillId="33" borderId="0" xfId="0" applyFill="1" applyBorder="1" applyAlignment="1">
      <alignment horizontal="center" vertical="center" wrapText="1"/>
    </xf>
    <xf numFmtId="0" fontId="16" fillId="33" borderId="0" xfId="0" applyFont="1" applyFill="1" applyAlignment="1">
      <alignment/>
    </xf>
    <xf numFmtId="2" fontId="16" fillId="33" borderId="0" xfId="0" applyNumberFormat="1" applyFont="1" applyFill="1" applyAlignment="1">
      <alignment/>
    </xf>
    <xf numFmtId="0" fontId="14" fillId="33" borderId="0" xfId="0" applyFont="1" applyFill="1" applyBorder="1" applyAlignment="1">
      <alignment horizontal="center" vertical="center"/>
    </xf>
    <xf numFmtId="0" fontId="14" fillId="33" borderId="0" xfId="0" applyFont="1" applyFill="1" applyAlignment="1">
      <alignment wrapText="1"/>
    </xf>
    <xf numFmtId="0" fontId="14" fillId="33" borderId="0" xfId="0" applyFont="1" applyFill="1" applyAlignment="1">
      <alignment/>
    </xf>
    <xf numFmtId="0" fontId="14" fillId="33" borderId="10" xfId="0" applyFont="1" applyFill="1" applyBorder="1" applyAlignment="1">
      <alignment horizontal="center" vertical="center"/>
    </xf>
    <xf numFmtId="0" fontId="36" fillId="34" borderId="12" xfId="0" applyFont="1" applyFill="1" applyBorder="1" applyAlignment="1" applyProtection="1">
      <alignment horizontal="center" vertical="center"/>
      <protection locked="0"/>
    </xf>
    <xf numFmtId="2" fontId="14" fillId="33" borderId="0" xfId="0" applyNumberFormat="1" applyFont="1" applyFill="1" applyBorder="1" applyAlignment="1" applyProtection="1">
      <alignment horizontal="left" vertical="center"/>
      <protection/>
    </xf>
    <xf numFmtId="0" fontId="5" fillId="35" borderId="0" xfId="0" applyFont="1" applyFill="1" applyBorder="1" applyAlignment="1">
      <alignment horizontal="left" vertical="center"/>
    </xf>
    <xf numFmtId="0" fontId="5" fillId="35" borderId="13" xfId="0" applyFont="1" applyFill="1" applyBorder="1" applyAlignment="1" applyProtection="1">
      <alignment horizontal="center" vertical="center"/>
      <protection hidden="1" locked="0"/>
    </xf>
    <xf numFmtId="174" fontId="5" fillId="35" borderId="0" xfId="0" applyNumberFormat="1" applyFont="1" applyFill="1" applyBorder="1" applyAlignment="1" applyProtection="1">
      <alignment horizontal="center" vertical="center"/>
      <protection hidden="1" locked="0"/>
    </xf>
    <xf numFmtId="0" fontId="5" fillId="35" borderId="0" xfId="0" applyFont="1" applyFill="1" applyBorder="1" applyAlignment="1" applyProtection="1">
      <alignment horizontal="center" vertical="center"/>
      <protection hidden="1" locked="0"/>
    </xf>
    <xf numFmtId="174" fontId="5" fillId="35" borderId="14" xfId="0" applyNumberFormat="1" applyFont="1" applyFill="1" applyBorder="1" applyAlignment="1" applyProtection="1">
      <alignment horizontal="center" vertical="center"/>
      <protection hidden="1" locked="0"/>
    </xf>
    <xf numFmtId="174" fontId="5" fillId="35" borderId="11" xfId="0" applyNumberFormat="1" applyFont="1" applyFill="1" applyBorder="1" applyAlignment="1" applyProtection="1">
      <alignment horizontal="center" vertical="center"/>
      <protection hidden="1" locked="0"/>
    </xf>
    <xf numFmtId="174" fontId="5" fillId="35" borderId="15" xfId="0" applyNumberFormat="1" applyFont="1" applyFill="1" applyBorder="1" applyAlignment="1" applyProtection="1">
      <alignment horizontal="center" vertical="center"/>
      <protection hidden="1" locked="0"/>
    </xf>
    <xf numFmtId="1" fontId="5" fillId="35" borderId="0" xfId="0" applyNumberFormat="1" applyFont="1" applyFill="1" applyBorder="1" applyAlignment="1" applyProtection="1">
      <alignment horizontal="center" vertical="center"/>
      <protection hidden="1" locked="0"/>
    </xf>
    <xf numFmtId="2" fontId="5" fillId="35" borderId="0" xfId="0" applyNumberFormat="1" applyFont="1" applyFill="1" applyBorder="1" applyAlignment="1" applyProtection="1">
      <alignment horizontal="center" vertical="center"/>
      <protection hidden="1" locked="0"/>
    </xf>
    <xf numFmtId="2" fontId="5" fillId="35" borderId="16" xfId="0" applyNumberFormat="1" applyFont="1" applyFill="1" applyBorder="1" applyAlignment="1" applyProtection="1">
      <alignment horizontal="center" vertical="center"/>
      <protection hidden="1" locked="0"/>
    </xf>
    <xf numFmtId="2" fontId="5" fillId="35" borderId="10" xfId="0" applyNumberFormat="1" applyFont="1" applyFill="1" applyBorder="1" applyAlignment="1" applyProtection="1">
      <alignment horizontal="left" vertical="center"/>
      <protection/>
    </xf>
    <xf numFmtId="174" fontId="5" fillId="35" borderId="10" xfId="0" applyNumberFormat="1" applyFont="1" applyFill="1" applyBorder="1" applyAlignment="1" applyProtection="1">
      <alignment horizontal="center" vertical="center" wrapText="1"/>
      <protection/>
    </xf>
    <xf numFmtId="174" fontId="5" fillId="35" borderId="17" xfId="0" applyNumberFormat="1" applyFont="1" applyFill="1" applyBorder="1" applyAlignment="1" applyProtection="1">
      <alignment horizontal="center" vertical="center" wrapText="1"/>
      <protection/>
    </xf>
    <xf numFmtId="174" fontId="5" fillId="35" borderId="18" xfId="0" applyNumberFormat="1" applyFont="1" applyFill="1" applyBorder="1" applyAlignment="1" applyProtection="1">
      <alignment horizontal="center" vertical="center" wrapText="1"/>
      <protection/>
    </xf>
    <xf numFmtId="174" fontId="5" fillId="35" borderId="19" xfId="0" applyNumberFormat="1" applyFont="1" applyFill="1" applyBorder="1" applyAlignment="1" applyProtection="1">
      <alignment horizontal="center" vertical="center" wrapText="1"/>
      <protection/>
    </xf>
    <xf numFmtId="2" fontId="5" fillId="35" borderId="10" xfId="0" applyNumberFormat="1" applyFont="1" applyFill="1" applyBorder="1" applyAlignment="1" applyProtection="1">
      <alignment horizontal="center" vertical="center" wrapText="1"/>
      <protection/>
    </xf>
    <xf numFmtId="0" fontId="5" fillId="33" borderId="13" xfId="0" applyFont="1" applyFill="1" applyBorder="1" applyAlignment="1">
      <alignment horizontal="center" vertical="center"/>
    </xf>
    <xf numFmtId="0" fontId="14" fillId="33" borderId="0" xfId="0" applyFont="1" applyFill="1" applyAlignment="1">
      <alignment horizontal="center" vertical="center"/>
    </xf>
    <xf numFmtId="0" fontId="5" fillId="33" borderId="20" xfId="0" applyFont="1" applyFill="1" applyBorder="1" applyAlignment="1">
      <alignment horizontal="center" vertical="center"/>
    </xf>
    <xf numFmtId="0" fontId="14" fillId="33" borderId="10" xfId="0" applyFont="1" applyFill="1" applyBorder="1" applyAlignment="1">
      <alignment/>
    </xf>
    <xf numFmtId="0" fontId="14" fillId="33" borderId="21" xfId="0" applyFont="1" applyFill="1" applyBorder="1" applyAlignment="1">
      <alignment horizontal="left"/>
    </xf>
    <xf numFmtId="0" fontId="14" fillId="33" borderId="22" xfId="0" applyFont="1" applyFill="1" applyBorder="1" applyAlignment="1">
      <alignment horizontal="left"/>
    </xf>
    <xf numFmtId="0" fontId="14" fillId="33" borderId="0" xfId="0" applyFont="1" applyFill="1" applyBorder="1" applyAlignment="1">
      <alignment/>
    </xf>
    <xf numFmtId="0" fontId="14" fillId="33" borderId="23" xfId="0" applyFont="1" applyFill="1" applyBorder="1" applyAlignment="1">
      <alignment horizontal="left"/>
    </xf>
    <xf numFmtId="0" fontId="5" fillId="33" borderId="24" xfId="0" applyFont="1" applyFill="1" applyBorder="1" applyAlignment="1" applyProtection="1">
      <alignment horizontal="center"/>
      <protection/>
    </xf>
    <xf numFmtId="0" fontId="5" fillId="33" borderId="21" xfId="0" applyFont="1" applyFill="1" applyBorder="1" applyAlignment="1">
      <alignment horizontal="left"/>
    </xf>
    <xf numFmtId="0" fontId="5" fillId="33" borderId="0" xfId="0" applyFont="1" applyFill="1" applyBorder="1" applyAlignment="1">
      <alignment horizontal="left" vertical="center"/>
    </xf>
    <xf numFmtId="0" fontId="5" fillId="35" borderId="0" xfId="0" applyFont="1" applyFill="1" applyAlignment="1">
      <alignment/>
    </xf>
    <xf numFmtId="0" fontId="5" fillId="35" borderId="0" xfId="0" applyFont="1" applyFill="1" applyAlignment="1">
      <alignment horizontal="center"/>
    </xf>
    <xf numFmtId="0" fontId="14" fillId="35" borderId="0" xfId="0" applyFont="1" applyFill="1" applyBorder="1" applyAlignment="1">
      <alignment horizontal="center" vertical="center"/>
    </xf>
    <xf numFmtId="170" fontId="5" fillId="35" borderId="0" xfId="0" applyNumberFormat="1" applyFont="1" applyFill="1" applyBorder="1" applyAlignment="1">
      <alignment horizontal="left" vertical="center"/>
    </xf>
    <xf numFmtId="0" fontId="14" fillId="35" borderId="10" xfId="0" applyFont="1" applyFill="1" applyBorder="1" applyAlignment="1">
      <alignment horizontal="center" vertical="center"/>
    </xf>
    <xf numFmtId="0" fontId="5" fillId="33" borderId="0" xfId="0" applyFont="1" applyFill="1" applyBorder="1" applyAlignment="1">
      <alignment vertical="center"/>
    </xf>
    <xf numFmtId="0" fontId="4" fillId="33" borderId="0" xfId="0" applyFont="1" applyFill="1" applyAlignment="1">
      <alignment/>
    </xf>
    <xf numFmtId="0" fontId="40" fillId="33" borderId="0" xfId="0" applyFont="1" applyFill="1" applyAlignment="1">
      <alignment/>
    </xf>
    <xf numFmtId="0" fontId="11" fillId="33" borderId="0" xfId="53" applyFont="1" applyFill="1" applyAlignment="1" applyProtection="1">
      <alignment/>
      <protection/>
    </xf>
    <xf numFmtId="0" fontId="41" fillId="33" borderId="0" xfId="0" applyFont="1" applyFill="1" applyBorder="1" applyAlignment="1">
      <alignment horizontal="center" vertical="center"/>
    </xf>
    <xf numFmtId="0" fontId="42" fillId="33" borderId="0" xfId="0" applyFont="1" applyFill="1" applyBorder="1" applyAlignment="1">
      <alignment horizontal="center" vertical="center"/>
    </xf>
    <xf numFmtId="0" fontId="43" fillId="33" borderId="0" xfId="0" applyFont="1" applyFill="1" applyBorder="1" applyAlignment="1">
      <alignment horizontal="center" vertical="center"/>
    </xf>
    <xf numFmtId="0" fontId="30" fillId="33" borderId="0" xfId="0" applyFont="1" applyFill="1" applyAlignment="1">
      <alignment horizontal="center" vertical="center"/>
    </xf>
    <xf numFmtId="0" fontId="44" fillId="33" borderId="0" xfId="0" applyFont="1" applyFill="1" applyBorder="1" applyAlignment="1">
      <alignment horizontal="center" vertical="center"/>
    </xf>
    <xf numFmtId="0" fontId="43" fillId="33" borderId="0" xfId="0" applyFont="1" applyFill="1" applyAlignment="1">
      <alignment horizontal="center" vertical="center"/>
    </xf>
    <xf numFmtId="0" fontId="7" fillId="33" borderId="0" xfId="53" applyFont="1" applyFill="1" applyAlignment="1" applyProtection="1">
      <alignment horizontal="left" vertical="center"/>
      <protection/>
    </xf>
    <xf numFmtId="0" fontId="45" fillId="33" borderId="0" xfId="0" applyFont="1" applyFill="1" applyAlignment="1">
      <alignment horizontal="center" vertical="center"/>
    </xf>
    <xf numFmtId="0" fontId="46" fillId="33" borderId="0" xfId="0" applyFont="1" applyFill="1" applyAlignment="1">
      <alignment horizontal="center" vertical="center"/>
    </xf>
    <xf numFmtId="0" fontId="47" fillId="33" borderId="0" xfId="0" applyFont="1" applyFill="1" applyAlignment="1">
      <alignment horizontal="center" vertical="center"/>
    </xf>
    <xf numFmtId="0" fontId="30" fillId="33" borderId="0" xfId="0" applyFont="1" applyFill="1" applyBorder="1" applyAlignment="1">
      <alignment horizontal="center" vertical="center"/>
    </xf>
    <xf numFmtId="0" fontId="36" fillId="34" borderId="15" xfId="0" applyFont="1" applyFill="1" applyBorder="1" applyAlignment="1" applyProtection="1">
      <alignment horizontal="center" vertical="center"/>
      <protection locked="0"/>
    </xf>
    <xf numFmtId="0" fontId="36" fillId="34" borderId="19" xfId="0" applyFont="1" applyFill="1" applyBorder="1" applyAlignment="1" applyProtection="1">
      <alignment horizontal="center" vertical="center"/>
      <protection locked="0"/>
    </xf>
    <xf numFmtId="0" fontId="36" fillId="34" borderId="25" xfId="0" applyFont="1" applyFill="1" applyBorder="1" applyAlignment="1" applyProtection="1">
      <alignment horizontal="center" vertical="center"/>
      <protection locked="0"/>
    </xf>
    <xf numFmtId="2" fontId="14" fillId="33" borderId="13" xfId="0" applyNumberFormat="1" applyFont="1" applyFill="1" applyBorder="1" applyAlignment="1" applyProtection="1">
      <alignment horizontal="left" vertical="center"/>
      <protection/>
    </xf>
    <xf numFmtId="2" fontId="5" fillId="35" borderId="20" xfId="0" applyNumberFormat="1" applyFont="1" applyFill="1" applyBorder="1" applyAlignment="1" applyProtection="1">
      <alignment horizontal="left" vertical="center"/>
      <protection/>
    </xf>
    <xf numFmtId="174" fontId="17" fillId="33" borderId="0" xfId="0" applyNumberFormat="1" applyFont="1" applyFill="1" applyBorder="1" applyAlignment="1" applyProtection="1">
      <alignment horizontal="center" vertical="center" wrapText="1"/>
      <protection/>
    </xf>
    <xf numFmtId="0" fontId="14" fillId="33" borderId="26" xfId="0" applyFont="1" applyFill="1" applyBorder="1" applyAlignment="1">
      <alignment horizontal="center" vertical="center"/>
    </xf>
    <xf numFmtId="0" fontId="14" fillId="33" borderId="22" xfId="0" applyFont="1" applyFill="1" applyBorder="1" applyAlignment="1">
      <alignment horizontal="center" vertical="center"/>
    </xf>
    <xf numFmtId="0" fontId="5" fillId="33" borderId="27" xfId="0" applyFont="1" applyFill="1" applyBorder="1" applyAlignment="1">
      <alignment horizontal="center" vertical="center"/>
    </xf>
    <xf numFmtId="0" fontId="14" fillId="33" borderId="21" xfId="0" applyFont="1" applyFill="1" applyBorder="1" applyAlignment="1">
      <alignment horizontal="center" vertical="center"/>
    </xf>
    <xf numFmtId="0" fontId="5" fillId="33" borderId="28"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31" xfId="0" applyFont="1" applyFill="1" applyBorder="1" applyAlignment="1" applyProtection="1">
      <alignment horizontal="center"/>
      <protection/>
    </xf>
    <xf numFmtId="0" fontId="5" fillId="33" borderId="32" xfId="0" applyFont="1" applyFill="1" applyBorder="1" applyAlignment="1" applyProtection="1">
      <alignment horizontal="center"/>
      <protection/>
    </xf>
    <xf numFmtId="0" fontId="48" fillId="33" borderId="0" xfId="0" applyFont="1" applyFill="1" applyAlignment="1">
      <alignment/>
    </xf>
    <xf numFmtId="49" fontId="5" fillId="33" borderId="0" xfId="0" applyNumberFormat="1" applyFont="1" applyFill="1" applyAlignment="1">
      <alignment horizontal="right" vertical="top"/>
    </xf>
    <xf numFmtId="0" fontId="5" fillId="33" borderId="0" xfId="0" applyFont="1" applyFill="1" applyBorder="1" applyAlignment="1">
      <alignment horizontal="center" vertical="center" wrapText="1"/>
    </xf>
    <xf numFmtId="49" fontId="5" fillId="33" borderId="0" xfId="0" applyNumberFormat="1" applyFont="1" applyFill="1" applyBorder="1" applyAlignment="1">
      <alignment horizontal="center" vertical="center" wrapText="1"/>
    </xf>
    <xf numFmtId="0" fontId="14" fillId="33" borderId="31" xfId="0" applyFont="1" applyFill="1" applyBorder="1" applyAlignment="1">
      <alignment horizontal="center" vertical="center" wrapText="1"/>
    </xf>
    <xf numFmtId="2" fontId="14" fillId="33" borderId="31" xfId="0" applyNumberFormat="1"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5" fillId="33" borderId="0" xfId="0" applyFont="1" applyFill="1" applyAlignment="1">
      <alignment horizontal="center" vertical="center" wrapText="1"/>
    </xf>
    <xf numFmtId="0" fontId="51" fillId="33" borderId="0" xfId="0" applyFont="1" applyFill="1" applyAlignment="1">
      <alignment/>
    </xf>
    <xf numFmtId="0" fontId="25" fillId="33" borderId="0" xfId="0" applyFont="1" applyFill="1" applyAlignment="1">
      <alignment horizontal="center" vertical="top"/>
    </xf>
    <xf numFmtId="0" fontId="7" fillId="33" borderId="0" xfId="0" applyFont="1" applyFill="1" applyAlignment="1" applyProtection="1">
      <alignment/>
      <protection/>
    </xf>
    <xf numFmtId="0" fontId="8" fillId="33" borderId="0" xfId="0" applyFont="1" applyFill="1" applyAlignment="1" applyProtection="1">
      <alignment/>
      <protection/>
    </xf>
    <xf numFmtId="0" fontId="21" fillId="33" borderId="0" xfId="0" applyFont="1" applyFill="1" applyAlignment="1" applyProtection="1">
      <alignment/>
      <protection/>
    </xf>
    <xf numFmtId="0" fontId="9" fillId="33" borderId="0" xfId="0" applyFont="1" applyFill="1" applyAlignment="1" applyProtection="1">
      <alignment/>
      <protection/>
    </xf>
    <xf numFmtId="0" fontId="16" fillId="33" borderId="0" xfId="0" applyFont="1" applyFill="1" applyAlignment="1" applyProtection="1">
      <alignment/>
      <protection/>
    </xf>
    <xf numFmtId="0" fontId="14" fillId="33" borderId="31" xfId="0" applyFont="1" applyFill="1" applyBorder="1" applyAlignment="1" applyProtection="1">
      <alignment/>
      <protection/>
    </xf>
    <xf numFmtId="0" fontId="0" fillId="0" borderId="0" xfId="0" applyFont="1" applyAlignment="1" applyProtection="1">
      <alignment/>
      <protection/>
    </xf>
    <xf numFmtId="0" fontId="16" fillId="33" borderId="31" xfId="0" applyFont="1" applyFill="1" applyBorder="1" applyAlignment="1" applyProtection="1">
      <alignment/>
      <protection/>
    </xf>
    <xf numFmtId="0" fontId="16" fillId="33" borderId="10" xfId="0" applyFont="1" applyFill="1" applyBorder="1" applyAlignment="1" applyProtection="1">
      <alignment/>
      <protection/>
    </xf>
    <xf numFmtId="0" fontId="5" fillId="33" borderId="27" xfId="0" applyFont="1" applyFill="1" applyBorder="1" applyAlignment="1" applyProtection="1">
      <alignment/>
      <protection/>
    </xf>
    <xf numFmtId="0" fontId="5" fillId="33" borderId="24" xfId="0" applyFont="1" applyFill="1" applyBorder="1" applyAlignment="1" applyProtection="1">
      <alignment/>
      <protection/>
    </xf>
    <xf numFmtId="0" fontId="5" fillId="33" borderId="33"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35" xfId="0" applyFont="1" applyFill="1" applyBorder="1" applyAlignment="1" applyProtection="1">
      <alignment/>
      <protection/>
    </xf>
    <xf numFmtId="0" fontId="5" fillId="33" borderId="35" xfId="0" applyFont="1" applyFill="1" applyBorder="1" applyAlignment="1" applyProtection="1">
      <alignment horizontal="center" vertic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3" borderId="19"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14" fillId="33" borderId="36" xfId="0" applyFont="1" applyFill="1" applyBorder="1" applyAlignment="1" applyProtection="1">
      <alignment horizontal="center" vertical="center"/>
      <protection/>
    </xf>
    <xf numFmtId="0" fontId="14" fillId="33" borderId="37" xfId="0" applyFont="1" applyFill="1" applyBorder="1" applyAlignment="1" applyProtection="1">
      <alignment horizontal="center" vertical="center"/>
      <protection/>
    </xf>
    <xf numFmtId="0" fontId="14" fillId="33" borderId="38" xfId="0" applyFont="1" applyFill="1" applyBorder="1" applyAlignment="1" applyProtection="1">
      <alignment horizontal="center" vertical="center"/>
      <protection/>
    </xf>
    <xf numFmtId="0" fontId="14" fillId="33" borderId="25" xfId="0" applyFont="1" applyFill="1" applyBorder="1" applyAlignment="1" applyProtection="1">
      <alignment horizontal="center" vertical="center"/>
      <protection/>
    </xf>
    <xf numFmtId="0" fontId="14" fillId="33" borderId="39"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14" xfId="0" applyFont="1" applyFill="1" applyBorder="1" applyAlignment="1" applyProtection="1">
      <alignment horizontal="center" vertical="center"/>
      <protection/>
    </xf>
    <xf numFmtId="0" fontId="14" fillId="33" borderId="11" xfId="0" applyFont="1" applyFill="1" applyBorder="1" applyAlignment="1" applyProtection="1">
      <alignment horizontal="center" vertical="center"/>
      <protection/>
    </xf>
    <xf numFmtId="0" fontId="14" fillId="33" borderId="15" xfId="0" applyFont="1" applyFill="1" applyBorder="1" applyAlignment="1" applyProtection="1">
      <alignment horizontal="center" vertical="center"/>
      <protection/>
    </xf>
    <xf numFmtId="0" fontId="14" fillId="33" borderId="16" xfId="0" applyFont="1" applyFill="1" applyBorder="1" applyAlignment="1" applyProtection="1">
      <alignment horizontal="center" vertical="center"/>
      <protection/>
    </xf>
    <xf numFmtId="0" fontId="14" fillId="33" borderId="40" xfId="0" applyFont="1" applyFill="1" applyBorder="1" applyAlignment="1" applyProtection="1">
      <alignment horizontal="center" vertical="center"/>
      <protection/>
    </xf>
    <xf numFmtId="0" fontId="14" fillId="33" borderId="31" xfId="0" applyFont="1" applyFill="1" applyBorder="1" applyAlignment="1" applyProtection="1">
      <alignment horizontal="center" vertical="center"/>
      <protection/>
    </xf>
    <xf numFmtId="0" fontId="14" fillId="33" borderId="32"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4" fillId="33" borderId="41" xfId="0"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14" fillId="33" borderId="17"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33" borderId="30" xfId="0" applyFont="1" applyFill="1" applyBorder="1" applyAlignment="1" applyProtection="1">
      <alignment horizontal="center" vertical="center"/>
      <protection/>
    </xf>
    <xf numFmtId="0" fontId="14" fillId="33" borderId="13" xfId="0" applyFont="1" applyFill="1" applyBorder="1" applyAlignment="1" applyProtection="1">
      <alignment horizontal="left"/>
      <protection/>
    </xf>
    <xf numFmtId="0" fontId="14" fillId="33" borderId="16" xfId="0" applyFont="1" applyFill="1" applyBorder="1" applyAlignment="1" applyProtection="1">
      <alignment horizontal="left"/>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14" fillId="33" borderId="20" xfId="0" applyFont="1" applyFill="1" applyBorder="1" applyAlignment="1" applyProtection="1">
      <alignment horizontal="left"/>
      <protection/>
    </xf>
    <xf numFmtId="0" fontId="14" fillId="33" borderId="10" xfId="0" applyFont="1" applyFill="1" applyBorder="1" applyAlignment="1" applyProtection="1">
      <alignment horizontal="left"/>
      <protection/>
    </xf>
    <xf numFmtId="0" fontId="5" fillId="35" borderId="13" xfId="0" applyFont="1" applyFill="1" applyBorder="1" applyAlignment="1" applyProtection="1">
      <alignment horizontal="left" vertical="center"/>
      <protection/>
    </xf>
    <xf numFmtId="0" fontId="5" fillId="35" borderId="0" xfId="0" applyFont="1" applyFill="1" applyBorder="1" applyAlignment="1" applyProtection="1">
      <alignment horizontal="left" vertical="center"/>
      <protection/>
    </xf>
    <xf numFmtId="0" fontId="5" fillId="35" borderId="2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2" fillId="33" borderId="0" xfId="0" applyFont="1" applyFill="1" applyAlignment="1" applyProtection="1">
      <alignment/>
      <protection/>
    </xf>
    <xf numFmtId="0" fontId="11" fillId="33" borderId="0" xfId="0" applyFont="1" applyFill="1" applyBorder="1" applyAlignment="1" applyProtection="1">
      <alignment horizontal="center"/>
      <protection/>
    </xf>
    <xf numFmtId="0" fontId="13" fillId="33" borderId="0" xfId="0" applyFont="1" applyFill="1" applyAlignment="1" applyProtection="1">
      <alignment/>
      <protection/>
    </xf>
    <xf numFmtId="0" fontId="23" fillId="33" borderId="0" xfId="0" applyFont="1" applyFill="1" applyAlignment="1" applyProtection="1">
      <alignment/>
      <protection/>
    </xf>
    <xf numFmtId="0" fontId="7" fillId="33" borderId="0" xfId="0" applyFont="1" applyFill="1" applyBorder="1" applyAlignment="1" applyProtection="1">
      <alignment/>
      <protection/>
    </xf>
    <xf numFmtId="0" fontId="5" fillId="33" borderId="0" xfId="0" applyFont="1" applyFill="1" applyAlignment="1" applyProtection="1">
      <alignment/>
      <protection/>
    </xf>
    <xf numFmtId="0" fontId="17" fillId="33" borderId="0" xfId="0" applyFont="1" applyFill="1" applyAlignment="1" applyProtection="1">
      <alignment/>
      <protection/>
    </xf>
    <xf numFmtId="0" fontId="5" fillId="33" borderId="10" xfId="0" applyFont="1" applyFill="1" applyBorder="1" applyAlignment="1" applyProtection="1">
      <alignment horizontal="left"/>
      <protection/>
    </xf>
    <xf numFmtId="0" fontId="5" fillId="33" borderId="10" xfId="0" applyFont="1" applyFill="1" applyBorder="1" applyAlignment="1" applyProtection="1">
      <alignment/>
      <protection/>
    </xf>
    <xf numFmtId="0" fontId="9" fillId="35" borderId="42" xfId="0" applyFont="1" applyFill="1" applyBorder="1" applyAlignment="1" applyProtection="1">
      <alignment/>
      <protection/>
    </xf>
    <xf numFmtId="0" fontId="17" fillId="35" borderId="42" xfId="0" applyFont="1" applyFill="1" applyBorder="1" applyAlignment="1" applyProtection="1">
      <alignment/>
      <protection/>
    </xf>
    <xf numFmtId="0" fontId="5" fillId="33" borderId="0" xfId="0" applyFont="1" applyFill="1" applyBorder="1" applyAlignment="1" applyProtection="1">
      <alignment horizontal="left"/>
      <protection/>
    </xf>
    <xf numFmtId="0" fontId="5" fillId="33" borderId="0" xfId="0" applyFont="1" applyFill="1" applyBorder="1" applyAlignment="1" applyProtection="1">
      <alignment horizontal="center"/>
      <protection/>
    </xf>
    <xf numFmtId="0" fontId="17" fillId="35" borderId="31" xfId="0" applyFont="1" applyFill="1" applyBorder="1" applyAlignment="1" applyProtection="1">
      <alignment/>
      <protection/>
    </xf>
    <xf numFmtId="174" fontId="17" fillId="35" borderId="31" xfId="0" applyNumberFormat="1" applyFont="1" applyFill="1" applyBorder="1" applyAlignment="1" applyProtection="1">
      <alignment/>
      <protection/>
    </xf>
    <xf numFmtId="0" fontId="5" fillId="33" borderId="43" xfId="0" applyFont="1" applyFill="1" applyBorder="1" applyAlignment="1" applyProtection="1">
      <alignment horizontal="left"/>
      <protection/>
    </xf>
    <xf numFmtId="0" fontId="5" fillId="33" borderId="43" xfId="0" applyFont="1" applyFill="1" applyBorder="1" applyAlignment="1" applyProtection="1">
      <alignment horizontal="center"/>
      <protection/>
    </xf>
    <xf numFmtId="174" fontId="17" fillId="33" borderId="0" xfId="0" applyNumberFormat="1" applyFont="1" applyFill="1" applyAlignment="1" applyProtection="1">
      <alignment/>
      <protection/>
    </xf>
    <xf numFmtId="0" fontId="5" fillId="33" borderId="0" xfId="0" applyFont="1" applyFill="1" applyBorder="1" applyAlignment="1" applyProtection="1">
      <alignment/>
      <protection/>
    </xf>
    <xf numFmtId="0" fontId="17" fillId="36" borderId="0" xfId="0" applyFont="1" applyFill="1" applyAlignment="1" applyProtection="1">
      <alignment/>
      <protection/>
    </xf>
    <xf numFmtId="0" fontId="17" fillId="37" borderId="0" xfId="0" applyFont="1" applyFill="1" applyAlignment="1" applyProtection="1">
      <alignment horizontal="center"/>
      <protection/>
    </xf>
    <xf numFmtId="0" fontId="17" fillId="37" borderId="0" xfId="0" applyFont="1" applyFill="1" applyAlignment="1" applyProtection="1">
      <alignment/>
      <protection/>
    </xf>
    <xf numFmtId="0" fontId="7" fillId="37" borderId="0" xfId="0" applyFont="1" applyFill="1" applyAlignment="1" applyProtection="1">
      <alignment/>
      <protection/>
    </xf>
    <xf numFmtId="0" fontId="7" fillId="37" borderId="0" xfId="0" applyFont="1" applyFill="1" applyAlignment="1" applyProtection="1">
      <alignment horizontal="center"/>
      <protection/>
    </xf>
    <xf numFmtId="0" fontId="17" fillId="36" borderId="0" xfId="0" applyFont="1" applyFill="1" applyAlignment="1" applyProtection="1">
      <alignment horizontal="center"/>
      <protection/>
    </xf>
    <xf numFmtId="174" fontId="17" fillId="37" borderId="0" xfId="0" applyNumberFormat="1" applyFont="1" applyFill="1" applyAlignment="1" applyProtection="1">
      <alignment horizontal="center"/>
      <protection/>
    </xf>
    <xf numFmtId="174" fontId="7" fillId="37" borderId="0" xfId="0" applyNumberFormat="1" applyFont="1" applyFill="1" applyAlignment="1" applyProtection="1">
      <alignment horizontal="center"/>
      <protection/>
    </xf>
    <xf numFmtId="16" fontId="5" fillId="33" borderId="0" xfId="0" applyNumberFormat="1" applyFont="1" applyFill="1" applyAlignment="1" applyProtection="1">
      <alignment/>
      <protection/>
    </xf>
    <xf numFmtId="0" fontId="16" fillId="36" borderId="0" xfId="0" applyFont="1" applyFill="1" applyBorder="1" applyAlignment="1" applyProtection="1">
      <alignment horizontal="center"/>
      <protection/>
    </xf>
    <xf numFmtId="0" fontId="7" fillId="36" borderId="0" xfId="0" applyFont="1" applyFill="1" applyAlignment="1" applyProtection="1">
      <alignment horizontal="center"/>
      <protection/>
    </xf>
    <xf numFmtId="0" fontId="12"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12" fillId="36" borderId="0" xfId="0" applyFont="1" applyFill="1" applyBorder="1" applyAlignment="1" applyProtection="1">
      <alignment horizontal="center"/>
      <protection/>
    </xf>
    <xf numFmtId="0" fontId="5" fillId="33" borderId="44" xfId="0" applyFont="1" applyFill="1" applyBorder="1" applyAlignment="1" applyProtection="1">
      <alignment/>
      <protection/>
    </xf>
    <xf numFmtId="0" fontId="9" fillId="37" borderId="31" xfId="0" applyFont="1" applyFill="1" applyBorder="1" applyAlignment="1" applyProtection="1">
      <alignment horizontal="center"/>
      <protection/>
    </xf>
    <xf numFmtId="0" fontId="17" fillId="38" borderId="10" xfId="0" applyFont="1" applyFill="1" applyBorder="1" applyAlignment="1" applyProtection="1">
      <alignment horizontal="center"/>
      <protection/>
    </xf>
    <xf numFmtId="0" fontId="7" fillId="38" borderId="10" xfId="0" applyFont="1" applyFill="1" applyBorder="1" applyAlignment="1" applyProtection="1">
      <alignment/>
      <protection/>
    </xf>
    <xf numFmtId="0" fontId="18" fillId="39" borderId="0" xfId="0" applyFont="1" applyFill="1" applyAlignment="1" applyProtection="1">
      <alignment horizontal="left"/>
      <protection/>
    </xf>
    <xf numFmtId="0" fontId="5" fillId="40" borderId="0" xfId="0" applyFont="1" applyFill="1" applyAlignment="1" applyProtection="1">
      <alignment/>
      <protection/>
    </xf>
    <xf numFmtId="0" fontId="17" fillId="38" borderId="0" xfId="0" applyFont="1" applyFill="1" applyAlignment="1" applyProtection="1">
      <alignment horizontal="center"/>
      <protection/>
    </xf>
    <xf numFmtId="0" fontId="7" fillId="38" borderId="0" xfId="0" applyFont="1" applyFill="1" applyAlignment="1" applyProtection="1">
      <alignment/>
      <protection/>
    </xf>
    <xf numFmtId="0" fontId="7" fillId="39" borderId="0" xfId="0" applyFont="1" applyFill="1" applyAlignment="1" applyProtection="1">
      <alignment/>
      <protection/>
    </xf>
    <xf numFmtId="0" fontId="7" fillId="40" borderId="0" xfId="0" applyFont="1" applyFill="1" applyAlignment="1" applyProtection="1">
      <alignment/>
      <protection/>
    </xf>
    <xf numFmtId="0" fontId="7" fillId="40" borderId="0" xfId="0" applyFont="1" applyFill="1" applyBorder="1" applyAlignment="1" applyProtection="1">
      <alignment/>
      <protection/>
    </xf>
    <xf numFmtId="0" fontId="7" fillId="40" borderId="31" xfId="0" applyFont="1" applyFill="1" applyBorder="1" applyAlignment="1" applyProtection="1">
      <alignment/>
      <protection/>
    </xf>
    <xf numFmtId="0" fontId="7" fillId="40" borderId="42" xfId="0" applyFont="1" applyFill="1" applyBorder="1" applyAlignment="1" applyProtection="1">
      <alignment/>
      <protection/>
    </xf>
    <xf numFmtId="0" fontId="16" fillId="40" borderId="0" xfId="0" applyFont="1" applyFill="1" applyAlignment="1" applyProtection="1">
      <alignment/>
      <protection/>
    </xf>
    <xf numFmtId="0" fontId="5" fillId="37" borderId="0" xfId="0" applyFont="1" applyFill="1" applyAlignment="1" applyProtection="1">
      <alignment/>
      <protection/>
    </xf>
    <xf numFmtId="0" fontId="17" fillId="38" borderId="0" xfId="0" applyFont="1" applyFill="1" applyAlignment="1" applyProtection="1">
      <alignment/>
      <protection/>
    </xf>
    <xf numFmtId="0" fontId="7" fillId="40" borderId="31" xfId="0" applyFont="1" applyFill="1" applyBorder="1" applyAlignment="1" applyProtection="1">
      <alignment/>
      <protection/>
    </xf>
    <xf numFmtId="0" fontId="22" fillId="33" borderId="0" xfId="0" applyFont="1" applyFill="1" applyAlignment="1" applyProtection="1">
      <alignment/>
      <protection/>
    </xf>
    <xf numFmtId="0" fontId="27" fillId="33" borderId="0" xfId="0" applyFont="1" applyFill="1" applyAlignment="1" applyProtection="1">
      <alignment/>
      <protection/>
    </xf>
    <xf numFmtId="0" fontId="7" fillId="38" borderId="0" xfId="0" applyFont="1" applyFill="1" applyAlignment="1" applyProtection="1">
      <alignment/>
      <protection/>
    </xf>
    <xf numFmtId="0" fontId="14" fillId="41" borderId="0" xfId="0" applyFont="1" applyFill="1" applyAlignment="1" applyProtection="1">
      <alignment/>
      <protection/>
    </xf>
    <xf numFmtId="0" fontId="14" fillId="41" borderId="0" xfId="0" applyFont="1" applyFill="1" applyAlignment="1" applyProtection="1">
      <alignment horizontal="center"/>
      <protection/>
    </xf>
    <xf numFmtId="0" fontId="15" fillId="41" borderId="0" xfId="0" applyFont="1" applyFill="1" applyAlignment="1" applyProtection="1">
      <alignment horizontal="center"/>
      <protection/>
    </xf>
    <xf numFmtId="0" fontId="15" fillId="38" borderId="0" xfId="0" applyFont="1" applyFill="1" applyAlignment="1" applyProtection="1">
      <alignment/>
      <protection/>
    </xf>
    <xf numFmtId="0" fontId="7" fillId="39" borderId="0" xfId="0" applyFont="1" applyFill="1" applyAlignment="1" applyProtection="1">
      <alignment horizontal="left"/>
      <protection/>
    </xf>
    <xf numFmtId="0" fontId="15" fillId="40" borderId="0" xfId="0" applyFont="1" applyFill="1" applyAlignment="1" applyProtection="1">
      <alignment/>
      <protection/>
    </xf>
    <xf numFmtId="0" fontId="15" fillId="33" borderId="0" xfId="0" applyFont="1" applyFill="1" applyAlignment="1" applyProtection="1">
      <alignment/>
      <protection/>
    </xf>
    <xf numFmtId="0" fontId="15" fillId="41" borderId="0" xfId="0" applyFont="1" applyFill="1" applyAlignment="1" applyProtection="1">
      <alignment/>
      <protection/>
    </xf>
    <xf numFmtId="0" fontId="15" fillId="37" borderId="0" xfId="0" applyFont="1" applyFill="1" applyAlignment="1" applyProtection="1">
      <alignment/>
      <protection/>
    </xf>
    <xf numFmtId="0" fontId="7" fillId="33" borderId="0" xfId="0" applyFont="1" applyFill="1" applyAlignment="1" applyProtection="1">
      <alignment horizontal="left"/>
      <protection/>
    </xf>
    <xf numFmtId="0" fontId="25" fillId="33" borderId="0" xfId="0" applyFont="1" applyFill="1" applyAlignment="1" applyProtection="1">
      <alignment/>
      <protection/>
    </xf>
    <xf numFmtId="2" fontId="16" fillId="40" borderId="0" xfId="0" applyNumberFormat="1" applyFont="1" applyFill="1" applyAlignment="1" applyProtection="1">
      <alignment/>
      <protection/>
    </xf>
    <xf numFmtId="0" fontId="7" fillId="37" borderId="0" xfId="0" applyFont="1" applyFill="1" applyAlignment="1" applyProtection="1">
      <alignment/>
      <protection/>
    </xf>
    <xf numFmtId="0" fontId="7" fillId="38" borderId="0" xfId="0" applyFont="1" applyFill="1" applyAlignment="1" applyProtection="1">
      <alignment horizontal="left"/>
      <protection/>
    </xf>
    <xf numFmtId="0" fontId="7" fillId="37" borderId="0" xfId="0" applyFont="1" applyFill="1" applyAlignment="1" applyProtection="1">
      <alignment horizontal="left"/>
      <protection/>
    </xf>
    <xf numFmtId="0" fontId="25" fillId="41" borderId="0" xfId="0" applyFont="1" applyFill="1" applyAlignment="1" applyProtection="1">
      <alignment/>
      <protection/>
    </xf>
    <xf numFmtId="2" fontId="18" fillId="41" borderId="0" xfId="0" applyNumberFormat="1" applyFont="1" applyFill="1" applyAlignment="1" applyProtection="1">
      <alignment/>
      <protection/>
    </xf>
    <xf numFmtId="0" fontId="18" fillId="40" borderId="0" xfId="0" applyFont="1" applyFill="1" applyAlignment="1" applyProtection="1">
      <alignment/>
      <protection/>
    </xf>
    <xf numFmtId="0" fontId="18" fillId="42" borderId="0" xfId="0" applyFont="1" applyFill="1" applyAlignment="1" applyProtection="1">
      <alignment/>
      <protection/>
    </xf>
    <xf numFmtId="0" fontId="7" fillId="42" borderId="0" xfId="0" applyFont="1" applyFill="1" applyAlignment="1" applyProtection="1">
      <alignment/>
      <protection/>
    </xf>
    <xf numFmtId="0" fontId="0" fillId="43" borderId="0" xfId="0" applyFill="1" applyAlignment="1" applyProtection="1">
      <alignment/>
      <protection/>
    </xf>
    <xf numFmtId="0" fontId="6" fillId="43" borderId="0" xfId="0" applyFont="1" applyFill="1" applyAlignment="1" applyProtection="1">
      <alignment/>
      <protection/>
    </xf>
    <xf numFmtId="0" fontId="0" fillId="43" borderId="0" xfId="0" applyFont="1" applyFill="1" applyAlignment="1" applyProtection="1">
      <alignment/>
      <protection/>
    </xf>
    <xf numFmtId="0" fontId="7" fillId="43" borderId="0" xfId="0" applyFont="1" applyFill="1" applyAlignment="1" applyProtection="1">
      <alignment/>
      <protection/>
    </xf>
    <xf numFmtId="0" fontId="15" fillId="42" borderId="0" xfId="0" applyFont="1" applyFill="1" applyAlignment="1" applyProtection="1">
      <alignment/>
      <protection/>
    </xf>
    <xf numFmtId="0" fontId="7" fillId="42" borderId="0" xfId="0" applyFont="1" applyFill="1" applyAlignment="1" applyProtection="1">
      <alignment/>
      <protection/>
    </xf>
    <xf numFmtId="174" fontId="30" fillId="33" borderId="0" xfId="0" applyNumberFormat="1" applyFont="1" applyFill="1" applyAlignment="1" applyProtection="1">
      <alignment/>
      <protection/>
    </xf>
    <xf numFmtId="16" fontId="6" fillId="43" borderId="0" xfId="0" applyNumberFormat="1" applyFont="1" applyFill="1" applyAlignment="1" applyProtection="1">
      <alignment/>
      <protection/>
    </xf>
    <xf numFmtId="0" fontId="15" fillId="42" borderId="0" xfId="0" applyFont="1" applyFill="1" applyAlignment="1" applyProtection="1">
      <alignment/>
      <protection/>
    </xf>
    <xf numFmtId="0" fontId="0" fillId="33" borderId="0" xfId="0" applyFill="1" applyAlignment="1" applyProtection="1">
      <alignment/>
      <protection/>
    </xf>
    <xf numFmtId="0" fontId="15" fillId="44" borderId="0" xfId="0" applyFont="1" applyFill="1" applyAlignment="1" applyProtection="1">
      <alignment/>
      <protection/>
    </xf>
    <xf numFmtId="0" fontId="15" fillId="44" borderId="31" xfId="0" applyFont="1" applyFill="1" applyBorder="1" applyAlignment="1" applyProtection="1">
      <alignment/>
      <protection/>
    </xf>
    <xf numFmtId="0" fontId="0" fillId="43" borderId="0" xfId="0" applyFont="1" applyFill="1" applyAlignment="1" applyProtection="1">
      <alignment/>
      <protection/>
    </xf>
    <xf numFmtId="0" fontId="26" fillId="43" borderId="0" xfId="0" applyFont="1" applyFill="1" applyAlignment="1" applyProtection="1">
      <alignment/>
      <protection/>
    </xf>
    <xf numFmtId="0" fontId="18" fillId="43" borderId="0" xfId="0" applyFont="1" applyFill="1" applyAlignment="1" applyProtection="1">
      <alignment horizontal="center" vertical="center" wrapText="1"/>
      <protection/>
    </xf>
    <xf numFmtId="0" fontId="18" fillId="43" borderId="0" xfId="0" applyFont="1" applyFill="1" applyBorder="1" applyAlignment="1" applyProtection="1">
      <alignment horizontal="center" vertical="center" wrapText="1"/>
      <protection/>
    </xf>
    <xf numFmtId="0" fontId="15" fillId="43" borderId="0" xfId="0" applyFont="1" applyFill="1" applyAlignment="1" applyProtection="1">
      <alignment/>
      <protection/>
    </xf>
    <xf numFmtId="0" fontId="25" fillId="37" borderId="0" xfId="0" applyFont="1" applyFill="1" applyAlignment="1" applyProtection="1">
      <alignment/>
      <protection/>
    </xf>
    <xf numFmtId="0" fontId="16" fillId="43" borderId="10" xfId="0" applyFont="1" applyFill="1" applyBorder="1" applyAlignment="1" applyProtection="1">
      <alignment/>
      <protection/>
    </xf>
    <xf numFmtId="0" fontId="16" fillId="43" borderId="10" xfId="0" applyFont="1" applyFill="1" applyBorder="1" applyAlignment="1" applyProtection="1">
      <alignment horizontal="center" vertical="center" wrapText="1"/>
      <protection/>
    </xf>
    <xf numFmtId="0" fontId="15" fillId="43" borderId="10" xfId="0" applyFont="1" applyFill="1" applyBorder="1" applyAlignment="1" applyProtection="1">
      <alignment/>
      <protection/>
    </xf>
    <xf numFmtId="0" fontId="15" fillId="43" borderId="10" xfId="0" applyFont="1" applyFill="1" applyBorder="1" applyAlignment="1" applyProtection="1">
      <alignment horizontal="center"/>
      <protection/>
    </xf>
    <xf numFmtId="0" fontId="7" fillId="33" borderId="0" xfId="0" applyFont="1" applyFill="1" applyAlignment="1" applyProtection="1">
      <alignment horizontal="center"/>
      <protection/>
    </xf>
    <xf numFmtId="0" fontId="7" fillId="45" borderId="0" xfId="0" applyFont="1" applyFill="1" applyAlignment="1" applyProtection="1">
      <alignment horizontal="center"/>
      <protection/>
    </xf>
    <xf numFmtId="0" fontId="7" fillId="43" borderId="0" xfId="0" applyFont="1" applyFill="1" applyAlignment="1" applyProtection="1">
      <alignment horizontal="center" vertical="center"/>
      <protection/>
    </xf>
    <xf numFmtId="0" fontId="15" fillId="43" borderId="0" xfId="0" applyFont="1" applyFill="1" applyAlignment="1" applyProtection="1">
      <alignment horizontal="center"/>
      <protection/>
    </xf>
    <xf numFmtId="0" fontId="15" fillId="43" borderId="28" xfId="0" applyFont="1" applyFill="1" applyBorder="1" applyAlignment="1" applyProtection="1">
      <alignment horizontal="center"/>
      <protection/>
    </xf>
    <xf numFmtId="0" fontId="15" fillId="33" borderId="0" xfId="0" applyFont="1" applyFill="1" applyAlignment="1" applyProtection="1">
      <alignment horizontal="center"/>
      <protection/>
    </xf>
    <xf numFmtId="0" fontId="15" fillId="43" borderId="0" xfId="0" applyFont="1" applyFill="1" applyBorder="1" applyAlignment="1" applyProtection="1">
      <alignment horizontal="center"/>
      <protection/>
    </xf>
    <xf numFmtId="0" fontId="7" fillId="43" borderId="10" xfId="0" applyFont="1" applyFill="1" applyBorder="1" applyAlignment="1" applyProtection="1">
      <alignment horizontal="center" vertical="center"/>
      <protection/>
    </xf>
    <xf numFmtId="0" fontId="15" fillId="33" borderId="10" xfId="0" applyFont="1" applyFill="1" applyBorder="1" applyAlignment="1" applyProtection="1">
      <alignment horizontal="center"/>
      <protection/>
    </xf>
    <xf numFmtId="0" fontId="22" fillId="0" borderId="0" xfId="0" applyFont="1" applyAlignment="1" applyProtection="1">
      <alignment/>
      <protection/>
    </xf>
    <xf numFmtId="0" fontId="22" fillId="43" borderId="0" xfId="0" applyFont="1" applyFill="1" applyAlignment="1" applyProtection="1">
      <alignment/>
      <protection/>
    </xf>
    <xf numFmtId="0" fontId="0" fillId="0" borderId="0" xfId="0" applyAlignment="1" applyProtection="1">
      <alignment/>
      <protection/>
    </xf>
    <xf numFmtId="0" fontId="27" fillId="46" borderId="0" xfId="0" applyFont="1" applyFill="1" applyAlignment="1" applyProtection="1">
      <alignment/>
      <protection/>
    </xf>
    <xf numFmtId="0" fontId="22" fillId="46" borderId="0" xfId="0" applyFont="1" applyFill="1" applyAlignment="1" applyProtection="1">
      <alignment/>
      <protection/>
    </xf>
    <xf numFmtId="0" fontId="22" fillId="43" borderId="10" xfId="0" applyFont="1" applyFill="1" applyBorder="1" applyAlignment="1" applyProtection="1">
      <alignment/>
      <protection/>
    </xf>
    <xf numFmtId="0" fontId="27" fillId="37" borderId="0" xfId="0" applyFont="1" applyFill="1" applyAlignment="1" applyProtection="1">
      <alignment/>
      <protection/>
    </xf>
    <xf numFmtId="0" fontId="22" fillId="37" borderId="0" xfId="0" applyFont="1" applyFill="1" applyAlignment="1" applyProtection="1">
      <alignment/>
      <protection/>
    </xf>
    <xf numFmtId="0" fontId="22" fillId="43" borderId="0" xfId="0" applyFont="1" applyFill="1" applyAlignment="1" applyProtection="1">
      <alignment horizontal="center"/>
      <protection/>
    </xf>
    <xf numFmtId="0" fontId="7" fillId="43" borderId="0" xfId="0" applyFont="1" applyFill="1" applyBorder="1" applyAlignment="1" applyProtection="1">
      <alignment horizontal="center" vertical="center"/>
      <protection/>
    </xf>
    <xf numFmtId="0" fontId="22" fillId="43" borderId="10" xfId="0" applyFont="1" applyFill="1" applyBorder="1" applyAlignment="1" applyProtection="1">
      <alignment horizontal="center"/>
      <protection/>
    </xf>
    <xf numFmtId="0" fontId="0" fillId="47" borderId="0" xfId="0" applyFill="1" applyAlignment="1" applyProtection="1">
      <alignment horizontal="center"/>
      <protection/>
    </xf>
    <xf numFmtId="0" fontId="27" fillId="43" borderId="0" xfId="0" applyFont="1" applyFill="1" applyAlignment="1" applyProtection="1">
      <alignment/>
      <protection/>
    </xf>
    <xf numFmtId="0" fontId="22" fillId="43" borderId="45" xfId="0" applyFont="1" applyFill="1" applyBorder="1" applyAlignment="1" applyProtection="1">
      <alignment/>
      <protection/>
    </xf>
    <xf numFmtId="0" fontId="36" fillId="34" borderId="46" xfId="0" applyFont="1" applyFill="1" applyBorder="1" applyAlignment="1" applyProtection="1">
      <alignment horizontal="left" vertical="center"/>
      <protection locked="0"/>
    </xf>
    <xf numFmtId="175" fontId="36" fillId="34" borderId="47" xfId="0" applyNumberFormat="1" applyFont="1" applyFill="1" applyBorder="1" applyAlignment="1" applyProtection="1">
      <alignment horizontal="center" vertical="center"/>
      <protection locked="0"/>
    </xf>
    <xf numFmtId="0" fontId="36" fillId="34" borderId="13" xfId="0" applyFont="1" applyFill="1" applyBorder="1" applyAlignment="1" applyProtection="1">
      <alignment horizontal="left" vertical="center"/>
      <protection locked="0"/>
    </xf>
    <xf numFmtId="175" fontId="36" fillId="34" borderId="22" xfId="0" applyNumberFormat="1" applyFont="1" applyFill="1" applyBorder="1" applyAlignment="1" applyProtection="1">
      <alignment horizontal="center" vertical="center"/>
      <protection locked="0"/>
    </xf>
    <xf numFmtId="0" fontId="36" fillId="34" borderId="48" xfId="0" applyFont="1" applyFill="1" applyBorder="1" applyAlignment="1" applyProtection="1">
      <alignment horizontal="left" vertical="center"/>
      <protection locked="0"/>
    </xf>
    <xf numFmtId="175" fontId="36" fillId="34" borderId="26" xfId="0" applyNumberFormat="1" applyFont="1" applyFill="1" applyBorder="1" applyAlignment="1" applyProtection="1">
      <alignment horizontal="center" vertical="center"/>
      <protection locked="0"/>
    </xf>
    <xf numFmtId="0" fontId="36" fillId="34" borderId="20" xfId="0" applyFont="1" applyFill="1" applyBorder="1" applyAlignment="1" applyProtection="1">
      <alignment horizontal="left" vertical="center"/>
      <protection locked="0"/>
    </xf>
    <xf numFmtId="175" fontId="36" fillId="34" borderId="21" xfId="0" applyNumberFormat="1" applyFont="1" applyFill="1" applyBorder="1" applyAlignment="1" applyProtection="1">
      <alignment horizontal="center" vertical="center"/>
      <protection locked="0"/>
    </xf>
    <xf numFmtId="0" fontId="14" fillId="33" borderId="0" xfId="0" applyFont="1" applyFill="1" applyAlignment="1">
      <alignment vertical="top"/>
    </xf>
    <xf numFmtId="0" fontId="14" fillId="33" borderId="0" xfId="0" applyFont="1" applyFill="1" applyAlignment="1">
      <alignment wrapText="1"/>
    </xf>
    <xf numFmtId="0" fontId="35" fillId="33" borderId="0" xfId="0" applyFont="1" applyFill="1" applyAlignment="1">
      <alignment wrapText="1"/>
    </xf>
    <xf numFmtId="0" fontId="49" fillId="33" borderId="0" xfId="0" applyFont="1" applyFill="1" applyAlignment="1">
      <alignment wrapText="1"/>
    </xf>
    <xf numFmtId="0" fontId="5" fillId="33" borderId="10" xfId="0" applyFont="1" applyFill="1" applyBorder="1" applyAlignment="1" applyProtection="1">
      <alignment horizontal="center" vertical="center"/>
      <protection/>
    </xf>
    <xf numFmtId="0" fontId="36" fillId="34" borderId="31" xfId="0" applyFont="1" applyFill="1" applyBorder="1" applyAlignment="1" applyProtection="1">
      <alignment horizontal="center" vertical="center"/>
      <protection locked="0"/>
    </xf>
    <xf numFmtId="0" fontId="36" fillId="34" borderId="31" xfId="0" applyFont="1" applyFill="1" applyBorder="1" applyAlignment="1" applyProtection="1">
      <alignment/>
      <protection locked="0"/>
    </xf>
    <xf numFmtId="0" fontId="5" fillId="33" borderId="46"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37" fillId="34" borderId="31" xfId="53" applyFont="1" applyFill="1" applyBorder="1" applyAlignment="1" applyProtection="1">
      <alignment horizontal="center" vertical="center"/>
      <protection/>
    </xf>
    <xf numFmtId="0" fontId="37" fillId="34" borderId="31" xfId="53" applyFont="1" applyFill="1" applyBorder="1" applyAlignment="1" applyProtection="1">
      <alignment/>
      <protection/>
    </xf>
    <xf numFmtId="0" fontId="14" fillId="33" borderId="31" xfId="0" applyFont="1" applyFill="1" applyBorder="1" applyAlignment="1" applyProtection="1">
      <alignment/>
      <protection/>
    </xf>
    <xf numFmtId="0" fontId="5" fillId="33" borderId="0"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170" fontId="5" fillId="33" borderId="28" xfId="0" applyNumberFormat="1" applyFont="1" applyFill="1" applyBorder="1" applyAlignment="1" applyProtection="1">
      <alignment horizontal="center" vertical="center"/>
      <protection/>
    </xf>
    <xf numFmtId="170" fontId="5" fillId="33" borderId="10" xfId="0" applyNumberFormat="1" applyFont="1" applyFill="1" applyBorder="1" applyAlignment="1" applyProtection="1">
      <alignment horizontal="center" vertical="center"/>
      <protection/>
    </xf>
    <xf numFmtId="170" fontId="5" fillId="33" borderId="49" xfId="0" applyNumberFormat="1" applyFont="1" applyFill="1" applyBorder="1" applyAlignment="1" applyProtection="1">
      <alignment horizontal="center" vertical="center"/>
      <protection/>
    </xf>
    <xf numFmtId="170" fontId="5" fillId="33" borderId="43" xfId="0" applyNumberFormat="1" applyFont="1" applyFill="1" applyBorder="1" applyAlignment="1" applyProtection="1">
      <alignment horizontal="center" vertical="center"/>
      <protection/>
    </xf>
    <xf numFmtId="170" fontId="5" fillId="33" borderId="28" xfId="0" applyNumberFormat="1" applyFont="1" applyFill="1" applyBorder="1" applyAlignment="1" applyProtection="1">
      <alignment horizontal="center"/>
      <protection/>
    </xf>
    <xf numFmtId="2" fontId="5" fillId="33" borderId="28" xfId="0" applyNumberFormat="1" applyFont="1" applyFill="1" applyBorder="1" applyAlignment="1" applyProtection="1">
      <alignment horizontal="center" vertical="center"/>
      <protection/>
    </xf>
    <xf numFmtId="174" fontId="5" fillId="33" borderId="28" xfId="0" applyNumberFormat="1" applyFont="1" applyFill="1" applyBorder="1" applyAlignment="1" applyProtection="1">
      <alignment horizontal="center" vertical="center"/>
      <protection/>
    </xf>
    <xf numFmtId="174" fontId="5" fillId="33" borderId="49" xfId="0" applyNumberFormat="1" applyFont="1" applyFill="1" applyBorder="1" applyAlignment="1" applyProtection="1">
      <alignment horizontal="center" vertical="center"/>
      <protection/>
    </xf>
    <xf numFmtId="2" fontId="5" fillId="33" borderId="43" xfId="0" applyNumberFormat="1" applyFont="1" applyFill="1" applyBorder="1" applyAlignment="1" applyProtection="1">
      <alignment horizontal="center" vertical="center"/>
      <protection/>
    </xf>
    <xf numFmtId="2" fontId="5" fillId="33" borderId="49" xfId="0" applyNumberFormat="1" applyFont="1" applyFill="1" applyBorder="1" applyAlignment="1" applyProtection="1">
      <alignment horizontal="center" vertical="center"/>
      <protection/>
    </xf>
    <xf numFmtId="174" fontId="5" fillId="33" borderId="43" xfId="0" applyNumberFormat="1" applyFont="1" applyFill="1" applyBorder="1" applyAlignment="1" applyProtection="1">
      <alignment horizontal="center" vertical="center"/>
      <protection/>
    </xf>
    <xf numFmtId="2" fontId="5" fillId="33" borderId="10" xfId="0" applyNumberFormat="1" applyFont="1" applyFill="1" applyBorder="1" applyAlignment="1" applyProtection="1">
      <alignment horizontal="center" vertical="center"/>
      <protection/>
    </xf>
    <xf numFmtId="2" fontId="5" fillId="33" borderId="28" xfId="0" applyNumberFormat="1" applyFont="1" applyFill="1" applyBorder="1" applyAlignment="1" applyProtection="1">
      <alignment horizontal="center"/>
      <protection/>
    </xf>
    <xf numFmtId="174" fontId="5" fillId="33" borderId="28" xfId="0" applyNumberFormat="1" applyFont="1" applyFill="1" applyBorder="1" applyAlignment="1" applyProtection="1">
      <alignment horizontal="center"/>
      <protection/>
    </xf>
    <xf numFmtId="174" fontId="5" fillId="33" borderId="10" xfId="0" applyNumberFormat="1" applyFont="1" applyFill="1" applyBorder="1" applyAlignment="1" applyProtection="1">
      <alignment horizontal="center" vertical="center"/>
      <protection/>
    </xf>
    <xf numFmtId="0" fontId="5" fillId="33" borderId="31" xfId="0" applyFont="1" applyFill="1" applyBorder="1" applyAlignment="1" applyProtection="1">
      <alignment horizontal="center"/>
      <protection/>
    </xf>
    <xf numFmtId="0" fontId="5" fillId="33" borderId="32"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0" fontId="14" fillId="33" borderId="32" xfId="0" applyFont="1" applyFill="1" applyBorder="1" applyAlignment="1" applyProtection="1">
      <alignment/>
      <protection/>
    </xf>
    <xf numFmtId="0" fontId="6" fillId="0" borderId="40" xfId="0" applyFont="1" applyBorder="1" applyAlignment="1" applyProtection="1">
      <alignment/>
      <protection/>
    </xf>
    <xf numFmtId="0" fontId="6" fillId="0" borderId="12" xfId="0" applyFont="1" applyBorder="1" applyAlignment="1" applyProtection="1">
      <alignment/>
      <protection/>
    </xf>
    <xf numFmtId="0" fontId="0" fillId="0" borderId="31" xfId="0"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xf>
    <xf numFmtId="174" fontId="25" fillId="40" borderId="31" xfId="0" applyNumberFormat="1" applyFont="1" applyFill="1" applyBorder="1" applyAlignment="1" applyProtection="1">
      <alignment/>
      <protection/>
    </xf>
    <xf numFmtId="174" fontId="26" fillId="0" borderId="31" xfId="0" applyNumberFormat="1" applyFont="1" applyBorder="1" applyAlignment="1" applyProtection="1">
      <alignment/>
      <protection/>
    </xf>
    <xf numFmtId="0" fontId="5" fillId="33" borderId="13" xfId="0"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17" fillId="40" borderId="31" xfId="0" applyFont="1" applyFill="1" applyBorder="1" applyAlignment="1" applyProtection="1">
      <alignment horizontal="center"/>
      <protection/>
    </xf>
    <xf numFmtId="0" fontId="5" fillId="40" borderId="0" xfId="0" applyFont="1" applyFill="1" applyAlignment="1" applyProtection="1">
      <alignment/>
      <protection/>
    </xf>
    <xf numFmtId="0" fontId="5" fillId="33" borderId="39"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0" xfId="0" applyFont="1" applyFill="1" applyAlignment="1">
      <alignment horizontal="left" vertical="center"/>
    </xf>
    <xf numFmtId="170" fontId="5" fillId="33" borderId="0" xfId="0" applyNumberFormat="1" applyFont="1" applyFill="1" applyAlignment="1">
      <alignment horizontal="left" vertical="center"/>
    </xf>
    <xf numFmtId="0" fontId="14" fillId="33" borderId="0" xfId="0" applyFont="1" applyFill="1" applyAlignment="1">
      <alignment horizontal="left" vertical="center"/>
    </xf>
    <xf numFmtId="2" fontId="5" fillId="35" borderId="0" xfId="0" applyNumberFormat="1" applyFont="1" applyFill="1" applyAlignment="1">
      <alignment/>
    </xf>
    <xf numFmtId="0" fontId="5" fillId="35" borderId="0" xfId="0" applyFont="1" applyFill="1" applyAlignment="1">
      <alignment/>
    </xf>
    <xf numFmtId="0" fontId="14" fillId="33" borderId="50"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51"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52"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53" xfId="0" applyFont="1" applyFill="1" applyBorder="1" applyAlignment="1">
      <alignment horizontal="center" vertical="center"/>
    </xf>
    <xf numFmtId="0" fontId="14" fillId="33" borderId="32" xfId="0" applyFont="1" applyFill="1" applyBorder="1" applyAlignment="1">
      <alignment horizontal="center" vertical="center"/>
    </xf>
    <xf numFmtId="174" fontId="14" fillId="33" borderId="31" xfId="0" applyNumberFormat="1" applyFont="1" applyFill="1" applyBorder="1" applyAlignment="1" applyProtection="1">
      <alignment horizontal="center" vertical="center"/>
      <protection/>
    </xf>
    <xf numFmtId="174" fontId="14" fillId="33" borderId="53" xfId="0" applyNumberFormat="1" applyFont="1" applyFill="1" applyBorder="1" applyAlignment="1" applyProtection="1">
      <alignment horizontal="center" vertical="center"/>
      <protection/>
    </xf>
    <xf numFmtId="1" fontId="5" fillId="35" borderId="0" xfId="0" applyNumberFormat="1" applyFont="1" applyFill="1" applyAlignment="1">
      <alignment/>
    </xf>
    <xf numFmtId="0" fontId="14" fillId="33" borderId="54"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55" xfId="0" applyFont="1" applyFill="1" applyBorder="1" applyAlignment="1">
      <alignment horizontal="center" vertical="center"/>
    </xf>
    <xf numFmtId="0" fontId="14" fillId="33" borderId="1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0" xfId="0" applyFont="1" applyFill="1" applyBorder="1" applyAlignment="1">
      <alignment horizontal="center" vertical="center"/>
    </xf>
    <xf numFmtId="174" fontId="14" fillId="33" borderId="17" xfId="0" applyNumberFormat="1" applyFont="1" applyFill="1" applyBorder="1" applyAlignment="1" applyProtection="1">
      <alignment horizontal="center" vertical="center"/>
      <protection/>
    </xf>
    <xf numFmtId="174" fontId="14" fillId="33" borderId="55" xfId="0" applyNumberFormat="1" applyFont="1" applyFill="1" applyBorder="1" applyAlignment="1" applyProtection="1">
      <alignment horizontal="center" vertical="center"/>
      <protection/>
    </xf>
    <xf numFmtId="174" fontId="5" fillId="33" borderId="10" xfId="0" applyNumberFormat="1" applyFont="1" applyFill="1" applyBorder="1" applyAlignment="1">
      <alignment horizontal="center"/>
    </xf>
    <xf numFmtId="0" fontId="5" fillId="33" borderId="10" xfId="0" applyFont="1" applyFill="1" applyBorder="1" applyAlignment="1">
      <alignment horizontal="center"/>
    </xf>
    <xf numFmtId="174" fontId="5" fillId="35" borderId="0" xfId="0" applyNumberFormat="1" applyFont="1" applyFill="1" applyAlignment="1">
      <alignment horizontal="right"/>
    </xf>
    <xf numFmtId="174" fontId="14" fillId="33" borderId="52" xfId="0" applyNumberFormat="1" applyFont="1" applyFill="1" applyBorder="1" applyAlignment="1" applyProtection="1">
      <alignment horizontal="center" vertical="center"/>
      <protection/>
    </xf>
    <xf numFmtId="174" fontId="14" fillId="33" borderId="54" xfId="0" applyNumberFormat="1" applyFont="1" applyFill="1" applyBorder="1" applyAlignment="1" applyProtection="1">
      <alignment horizontal="center" vertical="center"/>
      <protection/>
    </xf>
    <xf numFmtId="0" fontId="5" fillId="35" borderId="0" xfId="0" applyFont="1" applyFill="1" applyBorder="1" applyAlignment="1">
      <alignment horizontal="center" vertical="center"/>
    </xf>
    <xf numFmtId="0" fontId="5" fillId="35" borderId="10" xfId="0" applyFont="1" applyFill="1" applyBorder="1" applyAlignment="1">
      <alignment horizontal="center" vertical="center"/>
    </xf>
    <xf numFmtId="0" fontId="14" fillId="33" borderId="0" xfId="0" applyFont="1" applyFill="1" applyAlignment="1">
      <alignment horizontal="center" vertical="center"/>
    </xf>
    <xf numFmtId="174" fontId="14" fillId="33" borderId="50" xfId="0" applyNumberFormat="1" applyFont="1" applyFill="1" applyBorder="1" applyAlignment="1" applyProtection="1">
      <alignment horizontal="center" vertical="center"/>
      <protection/>
    </xf>
    <xf numFmtId="174" fontId="14" fillId="33" borderId="14" xfId="0" applyNumberFormat="1" applyFont="1" applyFill="1" applyBorder="1" applyAlignment="1" applyProtection="1">
      <alignment horizontal="center" vertical="center"/>
      <protection/>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9" xfId="0" applyFont="1" applyFill="1" applyBorder="1" applyAlignment="1">
      <alignment horizontal="center" vertical="center"/>
    </xf>
    <xf numFmtId="0" fontId="38" fillId="33" borderId="0" xfId="0" applyFont="1" applyFill="1" applyBorder="1" applyAlignment="1">
      <alignment horizontal="center" vertical="center"/>
    </xf>
    <xf numFmtId="0" fontId="39" fillId="0" borderId="0" xfId="0" applyFont="1" applyAlignment="1">
      <alignment horizontal="center" vertical="center"/>
    </xf>
    <xf numFmtId="14" fontId="14" fillId="33" borderId="10" xfId="0" applyNumberFormat="1" applyFont="1" applyFill="1" applyBorder="1" applyAlignment="1">
      <alignment horizontal="right" vertical="center"/>
    </xf>
    <xf numFmtId="14" fontId="14" fillId="33" borderId="10" xfId="0" applyNumberFormat="1" applyFont="1" applyFill="1" applyBorder="1" applyAlignment="1">
      <alignment horizontal="left" vertical="center"/>
    </xf>
    <xf numFmtId="0" fontId="14" fillId="33" borderId="10" xfId="0" applyFont="1" applyFill="1" applyBorder="1" applyAlignment="1">
      <alignment vertical="center"/>
    </xf>
    <xf numFmtId="174" fontId="14" fillId="33" borderId="51" xfId="0" applyNumberFormat="1" applyFont="1" applyFill="1" applyBorder="1" applyAlignment="1" applyProtection="1">
      <alignment horizontal="center" vertical="center"/>
      <protection/>
    </xf>
    <xf numFmtId="0" fontId="5" fillId="33" borderId="13"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20" fillId="33" borderId="10" xfId="0" applyFont="1" applyFill="1" applyBorder="1" applyAlignment="1" applyProtection="1">
      <alignment horizontal="center" vertical="center"/>
      <protection/>
    </xf>
    <xf numFmtId="0" fontId="20" fillId="33" borderId="30" xfId="0" applyFont="1" applyFill="1" applyBorder="1" applyAlignment="1" applyProtection="1">
      <alignment horizontal="center" vertical="center"/>
      <protection/>
    </xf>
    <xf numFmtId="2" fontId="20" fillId="33" borderId="0" xfId="0" applyNumberFormat="1" applyFont="1" applyFill="1" applyBorder="1" applyAlignment="1" applyProtection="1">
      <alignment horizontal="center" vertical="center"/>
      <protection locked="0"/>
    </xf>
    <xf numFmtId="174" fontId="20" fillId="33" borderId="0" xfId="0" applyNumberFormat="1" applyFont="1" applyFill="1" applyBorder="1" applyAlignment="1" applyProtection="1">
      <alignment horizontal="center" vertical="center"/>
      <protection/>
    </xf>
    <xf numFmtId="2" fontId="20" fillId="33" borderId="0" xfId="0" applyNumberFormat="1" applyFont="1" applyFill="1" applyBorder="1" applyAlignment="1" applyProtection="1">
      <alignment horizontal="center" vertical="center"/>
      <protection/>
    </xf>
    <xf numFmtId="174" fontId="20" fillId="33" borderId="16" xfId="0" applyNumberFormat="1" applyFont="1" applyFill="1" applyBorder="1" applyAlignment="1" applyProtection="1">
      <alignment horizontal="center" vertical="center"/>
      <protection/>
    </xf>
    <xf numFmtId="0" fontId="20" fillId="33" borderId="28" xfId="0" applyFont="1" applyFill="1" applyBorder="1" applyAlignment="1" applyProtection="1">
      <alignment horizontal="center" vertical="center"/>
      <protection/>
    </xf>
    <xf numFmtId="2" fontId="20" fillId="33" borderId="10" xfId="0" applyNumberFormat="1" applyFont="1" applyFill="1" applyBorder="1" applyAlignment="1">
      <alignment horizontal="center"/>
    </xf>
    <xf numFmtId="0" fontId="20" fillId="33" borderId="10" xfId="0" applyFont="1" applyFill="1" applyBorder="1" applyAlignment="1">
      <alignment horizontal="center"/>
    </xf>
    <xf numFmtId="174" fontId="20" fillId="33" borderId="10" xfId="0" applyNumberFormat="1" applyFont="1" applyFill="1" applyBorder="1" applyAlignment="1">
      <alignment horizontal="center"/>
    </xf>
    <xf numFmtId="0" fontId="20" fillId="33" borderId="30" xfId="0" applyFont="1" applyFill="1" applyBorder="1" applyAlignment="1">
      <alignment horizontal="center"/>
    </xf>
    <xf numFmtId="0" fontId="20" fillId="33" borderId="29" xfId="0" applyFont="1" applyFill="1" applyBorder="1" applyAlignment="1" applyProtection="1">
      <alignment horizontal="center" vertical="center"/>
      <protection/>
    </xf>
    <xf numFmtId="170" fontId="9" fillId="33" borderId="0" xfId="0" applyNumberFormat="1" applyFont="1" applyFill="1" applyBorder="1" applyAlignment="1">
      <alignment horizontal="left" vertical="center"/>
    </xf>
    <xf numFmtId="0" fontId="9" fillId="33" borderId="0" xfId="0" applyFont="1" applyFill="1" applyBorder="1" applyAlignment="1">
      <alignment horizontal="left" vertical="center"/>
    </xf>
    <xf numFmtId="0" fontId="19" fillId="33" borderId="0" xfId="0" applyFont="1" applyFill="1" applyBorder="1" applyAlignment="1">
      <alignment horizontal="left" vertical="center"/>
    </xf>
    <xf numFmtId="0" fontId="5" fillId="35" borderId="0" xfId="0" applyFont="1" applyFill="1" applyBorder="1" applyAlignment="1">
      <alignment horizontal="left" vertical="center"/>
    </xf>
    <xf numFmtId="0" fontId="5" fillId="35" borderId="0" xfId="0" applyFont="1" applyFill="1" applyAlignment="1">
      <alignment horizontal="left" vertical="center"/>
    </xf>
    <xf numFmtId="170" fontId="5" fillId="35" borderId="0" xfId="0" applyNumberFormat="1" applyFont="1" applyFill="1" applyBorder="1" applyAlignment="1">
      <alignment horizontal="left" vertical="center"/>
    </xf>
    <xf numFmtId="0" fontId="14" fillId="33" borderId="0" xfId="0" applyFont="1" applyFill="1" applyBorder="1" applyAlignment="1">
      <alignment horizontal="center" vertical="center"/>
    </xf>
    <xf numFmtId="170" fontId="5" fillId="33" borderId="0" xfId="0" applyNumberFormat="1" applyFont="1" applyFill="1" applyBorder="1" applyAlignment="1">
      <alignment horizontal="center" vertical="center"/>
    </xf>
    <xf numFmtId="0" fontId="5" fillId="35" borderId="0" xfId="0" applyFont="1" applyFill="1" applyAlignment="1">
      <alignment vertical="center"/>
    </xf>
    <xf numFmtId="0" fontId="5" fillId="35" borderId="0" xfId="0" applyFont="1" applyFill="1" applyBorder="1" applyAlignment="1">
      <alignment vertical="center"/>
    </xf>
    <xf numFmtId="170" fontId="14" fillId="33" borderId="10" xfId="0" applyNumberFormat="1" applyFont="1" applyFill="1" applyBorder="1" applyAlignment="1" applyProtection="1">
      <alignment horizontal="center" vertical="center"/>
      <protection/>
    </xf>
    <xf numFmtId="170" fontId="14" fillId="33" borderId="43" xfId="0" applyNumberFormat="1" applyFont="1" applyFill="1" applyBorder="1" applyAlignment="1" applyProtection="1">
      <alignment horizontal="center" vertical="center"/>
      <protection/>
    </xf>
    <xf numFmtId="170" fontId="14" fillId="33" borderId="0" xfId="0" applyNumberFormat="1" applyFont="1" applyFill="1" applyBorder="1" applyAlignment="1" applyProtection="1">
      <alignment horizontal="center" vertical="center"/>
      <protection/>
    </xf>
    <xf numFmtId="170" fontId="5" fillId="33" borderId="20" xfId="0" applyNumberFormat="1" applyFont="1" applyFill="1" applyBorder="1" applyAlignment="1">
      <alignment horizontal="center"/>
    </xf>
    <xf numFmtId="170" fontId="14" fillId="33" borderId="20" xfId="0" applyNumberFormat="1" applyFont="1" applyFill="1" applyBorder="1" applyAlignment="1" applyProtection="1">
      <alignment horizontal="center" vertical="center"/>
      <protection/>
    </xf>
    <xf numFmtId="174" fontId="14" fillId="33" borderId="43" xfId="0" applyNumberFormat="1" applyFont="1" applyFill="1" applyBorder="1" applyAlignment="1" applyProtection="1">
      <alignment horizontal="center" vertical="center"/>
      <protection/>
    </xf>
    <xf numFmtId="174" fontId="14" fillId="33" borderId="56" xfId="0" applyNumberFormat="1" applyFont="1" applyFill="1" applyBorder="1" applyAlignment="1" applyProtection="1">
      <alignment horizontal="center" vertical="center"/>
      <protection/>
    </xf>
    <xf numFmtId="170" fontId="14" fillId="33" borderId="13" xfId="0" applyNumberFormat="1" applyFont="1" applyFill="1" applyBorder="1" applyAlignment="1" applyProtection="1">
      <alignment horizontal="center" vertical="center"/>
      <protection/>
    </xf>
    <xf numFmtId="170" fontId="14" fillId="33" borderId="57" xfId="0" applyNumberFormat="1" applyFont="1" applyFill="1" applyBorder="1" applyAlignment="1" applyProtection="1">
      <alignment horizontal="center" vertical="center"/>
      <protection/>
    </xf>
    <xf numFmtId="2" fontId="5" fillId="33" borderId="10" xfId="0" applyNumberFormat="1" applyFont="1" applyFill="1" applyBorder="1" applyAlignment="1">
      <alignment horizontal="center"/>
    </xf>
    <xf numFmtId="0" fontId="5" fillId="33" borderId="30" xfId="0" applyFont="1" applyFill="1" applyBorder="1" applyAlignment="1">
      <alignment horizontal="center"/>
    </xf>
    <xf numFmtId="2" fontId="14" fillId="33" borderId="43" xfId="0" applyNumberFormat="1" applyFont="1" applyFill="1" applyBorder="1" applyAlignment="1" applyProtection="1">
      <alignment horizontal="center" vertical="center"/>
      <protection locked="0"/>
    </xf>
    <xf numFmtId="174" fontId="14" fillId="33" borderId="49" xfId="0" applyNumberFormat="1" applyFont="1" applyFill="1" applyBorder="1" applyAlignment="1" applyProtection="1">
      <alignment horizontal="center" vertical="center"/>
      <protection/>
    </xf>
    <xf numFmtId="174" fontId="14" fillId="33" borderId="58" xfId="0" applyNumberFormat="1" applyFont="1" applyFill="1" applyBorder="1" applyAlignment="1" applyProtection="1">
      <alignment horizontal="center" vertical="center"/>
      <protection/>
    </xf>
    <xf numFmtId="174" fontId="14" fillId="33" borderId="0" xfId="0" applyNumberFormat="1" applyFont="1" applyFill="1" applyBorder="1" applyAlignment="1" applyProtection="1">
      <alignment horizontal="center" vertical="center"/>
      <protection/>
    </xf>
    <xf numFmtId="174" fontId="14" fillId="33" borderId="16" xfId="0" applyNumberFormat="1" applyFont="1" applyFill="1" applyBorder="1" applyAlignment="1" applyProtection="1">
      <alignment horizontal="center" vertical="center"/>
      <protection/>
    </xf>
    <xf numFmtId="2" fontId="14" fillId="33" borderId="0" xfId="0" applyNumberFormat="1" applyFont="1" applyFill="1" applyBorder="1" applyAlignment="1" applyProtection="1">
      <alignment horizontal="center" vertical="center"/>
      <protection locked="0"/>
    </xf>
    <xf numFmtId="2" fontId="14" fillId="33" borderId="0" xfId="0" applyNumberFormat="1" applyFont="1" applyFill="1" applyBorder="1" applyAlignment="1" applyProtection="1">
      <alignment horizontal="center" vertical="center"/>
      <protection/>
    </xf>
    <xf numFmtId="2" fontId="14" fillId="33" borderId="43" xfId="0" applyNumberFormat="1" applyFont="1" applyFill="1" applyBorder="1" applyAlignment="1" applyProtection="1">
      <alignment horizontal="center" vertical="center"/>
      <protection/>
    </xf>
    <xf numFmtId="0" fontId="38" fillId="33" borderId="0" xfId="0" applyFont="1" applyFill="1" applyBorder="1" applyAlignment="1" applyProtection="1">
      <alignment horizontal="center" vertical="center"/>
      <protection/>
    </xf>
    <xf numFmtId="0" fontId="38" fillId="33" borderId="0" xfId="0" applyFont="1" applyFill="1" applyAlignment="1">
      <alignment horizontal="center" vertical="center"/>
    </xf>
    <xf numFmtId="0" fontId="38" fillId="33" borderId="10" xfId="0" applyFont="1" applyFill="1" applyBorder="1" applyAlignment="1">
      <alignment horizontal="center" vertical="center"/>
    </xf>
    <xf numFmtId="0" fontId="5" fillId="33" borderId="29" xfId="0" applyFont="1" applyFill="1" applyBorder="1" applyAlignment="1">
      <alignment/>
    </xf>
    <xf numFmtId="0" fontId="5" fillId="33" borderId="30" xfId="0" applyFont="1" applyFill="1" applyBorder="1" applyAlignment="1">
      <alignment/>
    </xf>
    <xf numFmtId="0" fontId="14" fillId="33" borderId="43" xfId="0" applyFont="1" applyFill="1" applyBorder="1" applyAlignment="1">
      <alignment/>
    </xf>
    <xf numFmtId="0" fontId="5" fillId="33" borderId="28" xfId="0" applyFont="1" applyFill="1" applyBorder="1" applyAlignment="1">
      <alignment/>
    </xf>
    <xf numFmtId="0" fontId="5" fillId="33" borderId="10" xfId="0" applyFont="1" applyFill="1" applyBorder="1" applyAlignment="1">
      <alignment/>
    </xf>
    <xf numFmtId="0" fontId="14" fillId="33" borderId="0" xfId="0" applyFont="1" applyFill="1" applyBorder="1" applyAlignment="1">
      <alignment/>
    </xf>
    <xf numFmtId="0" fontId="5" fillId="33" borderId="30"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170" fontId="5" fillId="33" borderId="10" xfId="0" applyNumberFormat="1" applyFont="1" applyFill="1" applyBorder="1" applyAlignment="1">
      <alignment horizontal="center"/>
    </xf>
    <xf numFmtId="0" fontId="14" fillId="33" borderId="10" xfId="0" applyFont="1" applyFill="1" applyBorder="1" applyAlignment="1">
      <alignment/>
    </xf>
    <xf numFmtId="174" fontId="14" fillId="33" borderId="10" xfId="0" applyNumberFormat="1" applyFont="1" applyFill="1" applyBorder="1" applyAlignment="1" applyProtection="1">
      <alignment horizontal="center" vertical="center"/>
      <protection/>
    </xf>
    <xf numFmtId="170" fontId="14" fillId="33" borderId="16" xfId="0" applyNumberFormat="1" applyFont="1" applyFill="1" applyBorder="1" applyAlignment="1">
      <alignment/>
    </xf>
    <xf numFmtId="170" fontId="14" fillId="33" borderId="56" xfId="0" applyNumberFormat="1" applyFont="1" applyFill="1" applyBorder="1" applyAlignment="1">
      <alignment/>
    </xf>
    <xf numFmtId="170" fontId="5" fillId="33" borderId="30" xfId="0" applyNumberFormat="1" applyFont="1" applyFill="1" applyBorder="1" applyAlignment="1">
      <alignment horizontal="center"/>
    </xf>
    <xf numFmtId="170" fontId="14" fillId="33" borderId="30" xfId="0" applyNumberFormat="1" applyFont="1" applyFill="1" applyBorder="1" applyAlignment="1">
      <alignment/>
    </xf>
    <xf numFmtId="2" fontId="14" fillId="33" borderId="10" xfId="0" applyNumberFormat="1" applyFont="1" applyFill="1" applyBorder="1" applyAlignment="1" applyProtection="1">
      <alignment horizontal="center" vertical="center"/>
      <protection/>
    </xf>
    <xf numFmtId="2" fontId="14" fillId="33" borderId="49" xfId="0" applyNumberFormat="1" applyFont="1" applyFill="1" applyBorder="1" applyAlignment="1" applyProtection="1">
      <alignment horizontal="center" vertical="center"/>
      <protection/>
    </xf>
    <xf numFmtId="2" fontId="14" fillId="33" borderId="10" xfId="0" applyNumberFormat="1" applyFont="1" applyFill="1" applyBorder="1" applyAlignment="1" applyProtection="1">
      <alignment horizontal="center" vertical="center"/>
      <protection locked="0"/>
    </xf>
    <xf numFmtId="174" fontId="14" fillId="33" borderId="30" xfId="0" applyNumberFormat="1" applyFont="1" applyFill="1" applyBorder="1" applyAlignment="1" applyProtection="1">
      <alignment horizontal="center" vertical="center"/>
      <protection/>
    </xf>
    <xf numFmtId="0" fontId="5" fillId="33" borderId="0" xfId="0" applyFont="1" applyFill="1" applyAlignment="1">
      <alignment horizontal="center" vertical="center" wrapText="1"/>
    </xf>
    <xf numFmtId="0" fontId="5" fillId="33" borderId="0" xfId="0" applyFont="1" applyFill="1" applyAlignment="1">
      <alignment horizontal="left" vertical="top" wrapText="1"/>
    </xf>
    <xf numFmtId="0" fontId="50" fillId="33" borderId="0" xfId="0" applyNumberFormat="1" applyFont="1" applyFill="1" applyAlignment="1">
      <alignment horizontal="left" vertical="top" wrapText="1"/>
    </xf>
    <xf numFmtId="0" fontId="22" fillId="0" borderId="0" xfId="0" applyFont="1" applyAlignment="1">
      <alignment horizontal="left" vertical="top" wrapText="1"/>
    </xf>
    <xf numFmtId="0" fontId="24" fillId="33" borderId="0" xfId="0" applyFont="1" applyFill="1" applyAlignment="1">
      <alignment horizontal="center" vertical="center"/>
    </xf>
    <xf numFmtId="0" fontId="29"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xf>
    <xf numFmtId="0" fontId="32" fillId="33" borderId="0" xfId="0" applyFont="1" applyFill="1" applyBorder="1" applyAlignment="1">
      <alignment horizontal="left" vertical="top" wrapText="1"/>
    </xf>
    <xf numFmtId="0" fontId="33" fillId="33" borderId="0" xfId="0" applyFont="1" applyFill="1" applyBorder="1" applyAlignment="1">
      <alignment horizontal="left" vertical="top" wrapText="1"/>
    </xf>
    <xf numFmtId="0" fontId="33" fillId="33" borderId="0" xfId="0" applyFont="1" applyFill="1" applyBorder="1" applyAlignment="1">
      <alignment/>
    </xf>
    <xf numFmtId="0" fontId="0" fillId="33" borderId="0" xfId="0" applyFill="1" applyAlignment="1">
      <alignment vertical="center" wrapText="1"/>
    </xf>
    <xf numFmtId="0" fontId="0" fillId="0" borderId="0" xfId="0" applyAlignment="1">
      <alignment vertical="center" wrapText="1"/>
    </xf>
    <xf numFmtId="0" fontId="15" fillId="33"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auto="1"/>
      </font>
      <fill>
        <patternFill>
          <bgColor indexed="11"/>
        </patternFill>
      </fill>
    </dxf>
    <dxf>
      <font>
        <color auto="1"/>
      </font>
      <fill>
        <patternFill>
          <bgColor indexed="11"/>
        </patternFill>
      </fill>
    </dxf>
    <dxf>
      <font>
        <color auto="1"/>
      </font>
      <fill>
        <patternFill patternType="solid">
          <bgColor indexed="11"/>
        </patternFill>
      </fill>
    </dxf>
    <dxf>
      <font>
        <color auto="1"/>
      </font>
      <fill>
        <patternFill patternType="solid">
          <bgColor indexed="11"/>
        </patternFill>
      </fill>
    </dxf>
    <dxf>
      <font>
        <color auto="1"/>
      </font>
      <fill>
        <patternFill patternType="solid">
          <bgColor indexed="11"/>
        </patternFill>
      </fill>
    </dxf>
    <dxf>
      <font>
        <color auto="1"/>
      </font>
      <fill>
        <patternFill patternType="solid">
          <bgColor indexed="11"/>
        </patternFill>
      </fill>
    </dxf>
    <dxf>
      <font>
        <color auto="1"/>
      </font>
      <fill>
        <patternFill>
          <bgColor indexed="11"/>
        </patternFill>
      </fill>
    </dxf>
    <dxf>
      <font>
        <color auto="1"/>
      </font>
      <fill>
        <patternFill patternType="solid">
          <bgColor indexed="11"/>
        </patternFill>
      </fill>
    </dxf>
    <dxf>
      <font>
        <color auto="1"/>
      </font>
      <fill>
        <patternFill patternType="solid">
          <bgColor indexed="11"/>
        </patternFill>
      </fill>
    </dxf>
    <dxf>
      <font>
        <color auto="1"/>
      </font>
      <fill>
        <patternFill>
          <bgColor indexed="11"/>
        </patternFill>
      </fill>
    </dxf>
    <dxf>
      <font>
        <color indexed="16"/>
      </font>
      <fill>
        <patternFill>
          <bgColor indexed="11"/>
        </patternFill>
      </fill>
    </dxf>
    <dxf>
      <font>
        <color auto="1"/>
      </font>
      <fill>
        <patternFill patternType="solid">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hyperlink" Target="#'Body%20Condition%20Scores'!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hyperlink" Target="#'Ration%20Balancer'!B9" /><Relationship Id="rId10" Type="http://schemas.openxmlformats.org/officeDocument/2006/relationships/image" Target="../media/image11.jpeg" /><Relationship Id="rId1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0</xdr:rowOff>
    </xdr:from>
    <xdr:to>
      <xdr:col>3</xdr:col>
      <xdr:colOff>466725</xdr:colOff>
      <xdr:row>47</xdr:row>
      <xdr:rowOff>0</xdr:rowOff>
    </xdr:to>
    <xdr:pic>
      <xdr:nvPicPr>
        <xdr:cNvPr id="1" name="Picture 3" descr="extensionwdmk"/>
        <xdr:cNvPicPr preferRelativeResize="1">
          <a:picLocks noChangeAspect="1"/>
        </xdr:cNvPicPr>
      </xdr:nvPicPr>
      <xdr:blipFill>
        <a:blip r:embed="rId1"/>
        <a:stretch>
          <a:fillRect/>
        </a:stretch>
      </xdr:blipFill>
      <xdr:spPr>
        <a:xfrm>
          <a:off x="47625" y="14687550"/>
          <a:ext cx="2190750" cy="828675"/>
        </a:xfrm>
        <a:prstGeom prst="rect">
          <a:avLst/>
        </a:prstGeom>
        <a:solidFill>
          <a:srgbClr val="CC99FF"/>
        </a:solidFill>
        <a:ln w="9525" cmpd="sng">
          <a:noFill/>
        </a:ln>
      </xdr:spPr>
    </xdr:pic>
    <xdr:clientData/>
  </xdr:twoCellAnchor>
  <xdr:twoCellAnchor editAs="oneCell">
    <xdr:from>
      <xdr:col>0</xdr:col>
      <xdr:colOff>57150</xdr:colOff>
      <xdr:row>0</xdr:row>
      <xdr:rowOff>28575</xdr:rowOff>
    </xdr:from>
    <xdr:to>
      <xdr:col>9</xdr:col>
      <xdr:colOff>419100</xdr:colOff>
      <xdr:row>3</xdr:row>
      <xdr:rowOff>190500</xdr:rowOff>
    </xdr:to>
    <xdr:pic>
      <xdr:nvPicPr>
        <xdr:cNvPr id="2" name="Picture 4" descr="mainheader_760x110"/>
        <xdr:cNvPicPr preferRelativeResize="1">
          <a:picLocks noChangeAspect="1"/>
        </xdr:cNvPicPr>
      </xdr:nvPicPr>
      <xdr:blipFill>
        <a:blip r:embed="rId2"/>
        <a:stretch>
          <a:fillRect/>
        </a:stretch>
      </xdr:blipFill>
      <xdr:spPr>
        <a:xfrm>
          <a:off x="57150" y="28575"/>
          <a:ext cx="56769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10</xdr:col>
      <xdr:colOff>276225</xdr:colOff>
      <xdr:row>3</xdr:row>
      <xdr:rowOff>180975</xdr:rowOff>
    </xdr:to>
    <xdr:pic>
      <xdr:nvPicPr>
        <xdr:cNvPr id="1" name="Picture 30" descr="mainheader_760x110"/>
        <xdr:cNvPicPr preferRelativeResize="1">
          <a:picLocks noChangeAspect="1"/>
        </xdr:cNvPicPr>
      </xdr:nvPicPr>
      <xdr:blipFill>
        <a:blip r:embed="rId1"/>
        <a:stretch>
          <a:fillRect/>
        </a:stretch>
      </xdr:blipFill>
      <xdr:spPr>
        <a:xfrm>
          <a:off x="9525" y="9525"/>
          <a:ext cx="5715000" cy="857250"/>
        </a:xfrm>
        <a:prstGeom prst="rect">
          <a:avLst/>
        </a:prstGeom>
        <a:noFill/>
        <a:ln w="9525" cmpd="sng">
          <a:noFill/>
        </a:ln>
      </xdr:spPr>
    </xdr:pic>
    <xdr:clientData/>
  </xdr:twoCellAnchor>
  <xdr:twoCellAnchor>
    <xdr:from>
      <xdr:col>0</xdr:col>
      <xdr:colOff>19050</xdr:colOff>
      <xdr:row>30</xdr:row>
      <xdr:rowOff>28575</xdr:rowOff>
    </xdr:from>
    <xdr:to>
      <xdr:col>0</xdr:col>
      <xdr:colOff>2228850</xdr:colOff>
      <xdr:row>35</xdr:row>
      <xdr:rowOff>0</xdr:rowOff>
    </xdr:to>
    <xdr:pic>
      <xdr:nvPicPr>
        <xdr:cNvPr id="2" name="Picture 32" descr="extensionwdmk"/>
        <xdr:cNvPicPr preferRelativeResize="1">
          <a:picLocks noChangeAspect="1"/>
        </xdr:cNvPicPr>
      </xdr:nvPicPr>
      <xdr:blipFill>
        <a:blip r:embed="rId2"/>
        <a:stretch>
          <a:fillRect/>
        </a:stretch>
      </xdr:blipFill>
      <xdr:spPr>
        <a:xfrm>
          <a:off x="19050" y="6257925"/>
          <a:ext cx="2209800" cy="923925"/>
        </a:xfrm>
        <a:prstGeom prst="rect">
          <a:avLst/>
        </a:prstGeom>
        <a:solidFill>
          <a:srgbClr val="CC99FF"/>
        </a:solidFill>
        <a:ln w="9525" cmpd="sng">
          <a:noFill/>
        </a:ln>
      </xdr:spPr>
    </xdr:pic>
    <xdr:clientData/>
  </xdr:twoCellAnchor>
  <xdr:twoCellAnchor>
    <xdr:from>
      <xdr:col>0</xdr:col>
      <xdr:colOff>19050</xdr:colOff>
      <xdr:row>10</xdr:row>
      <xdr:rowOff>28575</xdr:rowOff>
    </xdr:from>
    <xdr:to>
      <xdr:col>6</xdr:col>
      <xdr:colOff>0</xdr:colOff>
      <xdr:row>11</xdr:row>
      <xdr:rowOff>9525</xdr:rowOff>
    </xdr:to>
    <xdr:sp>
      <xdr:nvSpPr>
        <xdr:cNvPr id="3" name="Text Box 91">
          <a:hlinkClick r:id="rId3"/>
        </xdr:cNvPr>
        <xdr:cNvSpPr txBox="1">
          <a:spLocks noChangeArrowheads="1"/>
        </xdr:cNvSpPr>
      </xdr:nvSpPr>
      <xdr:spPr>
        <a:xfrm>
          <a:off x="19050" y="2085975"/>
          <a:ext cx="4171950" cy="200025"/>
        </a:xfrm>
        <a:prstGeom prst="rect">
          <a:avLst/>
        </a:prstGeom>
        <a:solidFill>
          <a:srgbClr val="99CCFF"/>
        </a:solidFill>
        <a:ln w="25400" cmpd="sng">
          <a:solidFill>
            <a:srgbClr val="000090"/>
          </a:solidFill>
          <a:headEnd type="none"/>
          <a:tailEnd type="none"/>
        </a:ln>
      </xdr:spPr>
      <xdr:txBody>
        <a:bodyPr vertOverflow="clip" wrap="square" lIns="27432" tIns="18288" rIns="27432" bIns="0"/>
        <a:p>
          <a:pPr algn="ctr">
            <a:defRPr/>
          </a:pPr>
          <a:r>
            <a:rPr lang="en-US" cap="none" sz="1000" b="1" i="0" u="none" baseline="0">
              <a:solidFill>
                <a:srgbClr val="000090"/>
              </a:solidFill>
              <a:latin typeface="Arial"/>
              <a:ea typeface="Arial"/>
              <a:cs typeface="Arial"/>
            </a:rPr>
            <a:t>CLICK HERE FOR BODY CONDITION SCORING INFORMATION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8</xdr:col>
      <xdr:colOff>257175</xdr:colOff>
      <xdr:row>3</xdr:row>
      <xdr:rowOff>180975</xdr:rowOff>
    </xdr:to>
    <xdr:pic>
      <xdr:nvPicPr>
        <xdr:cNvPr id="1" name="Picture 2" descr="mainheader_760x110"/>
        <xdr:cNvPicPr preferRelativeResize="1">
          <a:picLocks noChangeAspect="1"/>
        </xdr:cNvPicPr>
      </xdr:nvPicPr>
      <xdr:blipFill>
        <a:blip r:embed="rId1"/>
        <a:stretch>
          <a:fillRect/>
        </a:stretch>
      </xdr:blipFill>
      <xdr:spPr>
        <a:xfrm>
          <a:off x="9525" y="9525"/>
          <a:ext cx="5676900" cy="857250"/>
        </a:xfrm>
        <a:prstGeom prst="rect">
          <a:avLst/>
        </a:prstGeom>
        <a:noFill/>
        <a:ln w="9525" cmpd="sng">
          <a:noFill/>
        </a:ln>
      </xdr:spPr>
    </xdr:pic>
    <xdr:clientData/>
  </xdr:twoCellAnchor>
  <xdr:twoCellAnchor>
    <xdr:from>
      <xdr:col>0</xdr:col>
      <xdr:colOff>28575</xdr:colOff>
      <xdr:row>30</xdr:row>
      <xdr:rowOff>28575</xdr:rowOff>
    </xdr:from>
    <xdr:to>
      <xdr:col>0</xdr:col>
      <xdr:colOff>2247900</xdr:colOff>
      <xdr:row>34</xdr:row>
      <xdr:rowOff>161925</xdr:rowOff>
    </xdr:to>
    <xdr:pic>
      <xdr:nvPicPr>
        <xdr:cNvPr id="2" name="Picture 4" descr="extensionwdmk"/>
        <xdr:cNvPicPr preferRelativeResize="1">
          <a:picLocks noChangeAspect="1"/>
        </xdr:cNvPicPr>
      </xdr:nvPicPr>
      <xdr:blipFill>
        <a:blip r:embed="rId2"/>
        <a:stretch>
          <a:fillRect/>
        </a:stretch>
      </xdr:blipFill>
      <xdr:spPr>
        <a:xfrm>
          <a:off x="28575" y="6057900"/>
          <a:ext cx="2219325" cy="819150"/>
        </a:xfrm>
        <a:prstGeom prst="rect">
          <a:avLst/>
        </a:prstGeom>
        <a:solidFill>
          <a:srgbClr val="CC99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15</xdr:col>
      <xdr:colOff>171450</xdr:colOff>
      <xdr:row>3</xdr:row>
      <xdr:rowOff>152400</xdr:rowOff>
    </xdr:to>
    <xdr:pic>
      <xdr:nvPicPr>
        <xdr:cNvPr id="1" name="Picture 2" descr="mainheader_760x110"/>
        <xdr:cNvPicPr preferRelativeResize="1">
          <a:picLocks noChangeAspect="1"/>
        </xdr:cNvPicPr>
      </xdr:nvPicPr>
      <xdr:blipFill>
        <a:blip r:embed="rId1"/>
        <a:stretch>
          <a:fillRect/>
        </a:stretch>
      </xdr:blipFill>
      <xdr:spPr>
        <a:xfrm>
          <a:off x="0" y="9525"/>
          <a:ext cx="5534025" cy="828675"/>
        </a:xfrm>
        <a:prstGeom prst="rect">
          <a:avLst/>
        </a:prstGeom>
        <a:noFill/>
        <a:ln w="9525" cmpd="sng">
          <a:noFill/>
        </a:ln>
      </xdr:spPr>
    </xdr:pic>
    <xdr:clientData/>
  </xdr:twoCellAnchor>
  <xdr:twoCellAnchor>
    <xdr:from>
      <xdr:col>0</xdr:col>
      <xdr:colOff>57150</xdr:colOff>
      <xdr:row>30</xdr:row>
      <xdr:rowOff>161925</xdr:rowOff>
    </xdr:from>
    <xdr:to>
      <xdr:col>0</xdr:col>
      <xdr:colOff>2266950</xdr:colOff>
      <xdr:row>35</xdr:row>
      <xdr:rowOff>114300</xdr:rowOff>
    </xdr:to>
    <xdr:pic>
      <xdr:nvPicPr>
        <xdr:cNvPr id="2" name="Picture 4" descr="extensionwdmk"/>
        <xdr:cNvPicPr preferRelativeResize="1">
          <a:picLocks noChangeAspect="1"/>
        </xdr:cNvPicPr>
      </xdr:nvPicPr>
      <xdr:blipFill>
        <a:blip r:embed="rId2"/>
        <a:stretch>
          <a:fillRect/>
        </a:stretch>
      </xdr:blipFill>
      <xdr:spPr>
        <a:xfrm>
          <a:off x="57150" y="5905500"/>
          <a:ext cx="2209800" cy="847725"/>
        </a:xfrm>
        <a:prstGeom prst="rect">
          <a:avLst/>
        </a:prstGeom>
        <a:solidFill>
          <a:srgbClr val="CC99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305</xdr:row>
      <xdr:rowOff>47625</xdr:rowOff>
    </xdr:from>
    <xdr:to>
      <xdr:col>0</xdr:col>
      <xdr:colOff>2247900</xdr:colOff>
      <xdr:row>310</xdr:row>
      <xdr:rowOff>38100</xdr:rowOff>
    </xdr:to>
    <xdr:pic>
      <xdr:nvPicPr>
        <xdr:cNvPr id="1" name="Picture 22" descr="extensionwdmk"/>
        <xdr:cNvPicPr preferRelativeResize="1">
          <a:picLocks noChangeAspect="1"/>
        </xdr:cNvPicPr>
      </xdr:nvPicPr>
      <xdr:blipFill>
        <a:blip r:embed="rId1"/>
        <a:stretch>
          <a:fillRect/>
        </a:stretch>
      </xdr:blipFill>
      <xdr:spPr>
        <a:xfrm>
          <a:off x="47625" y="65760600"/>
          <a:ext cx="2200275" cy="847725"/>
        </a:xfrm>
        <a:prstGeom prst="rect">
          <a:avLst/>
        </a:prstGeom>
        <a:solidFill>
          <a:srgbClr val="CC99FF"/>
        </a:solidFill>
        <a:ln w="9525" cmpd="sng">
          <a:noFill/>
        </a:ln>
      </xdr:spPr>
    </xdr:pic>
    <xdr:clientData/>
  </xdr:twoCellAnchor>
  <xdr:twoCellAnchor editAs="oneCell">
    <xdr:from>
      <xdr:col>0</xdr:col>
      <xdr:colOff>19050</xdr:colOff>
      <xdr:row>0</xdr:row>
      <xdr:rowOff>9525</xdr:rowOff>
    </xdr:from>
    <xdr:to>
      <xdr:col>10</xdr:col>
      <xdr:colOff>323850</xdr:colOff>
      <xdr:row>3</xdr:row>
      <xdr:rowOff>180975</xdr:rowOff>
    </xdr:to>
    <xdr:pic>
      <xdr:nvPicPr>
        <xdr:cNvPr id="2" name="Picture 23" descr="mainheader_760x110"/>
        <xdr:cNvPicPr preferRelativeResize="1">
          <a:picLocks noChangeAspect="1"/>
        </xdr:cNvPicPr>
      </xdr:nvPicPr>
      <xdr:blipFill>
        <a:blip r:embed="rId2"/>
        <a:stretch>
          <a:fillRect/>
        </a:stretch>
      </xdr:blipFill>
      <xdr:spPr>
        <a:xfrm>
          <a:off x="19050" y="9525"/>
          <a:ext cx="55911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316</xdr:row>
      <xdr:rowOff>28575</xdr:rowOff>
    </xdr:from>
    <xdr:to>
      <xdr:col>3</xdr:col>
      <xdr:colOff>9525</xdr:colOff>
      <xdr:row>321</xdr:row>
      <xdr:rowOff>57150</xdr:rowOff>
    </xdr:to>
    <xdr:pic>
      <xdr:nvPicPr>
        <xdr:cNvPr id="1" name="Picture 1" descr="extensionwdmk"/>
        <xdr:cNvPicPr preferRelativeResize="1">
          <a:picLocks noChangeAspect="1"/>
        </xdr:cNvPicPr>
      </xdr:nvPicPr>
      <xdr:blipFill>
        <a:blip r:embed="rId1"/>
        <a:stretch>
          <a:fillRect/>
        </a:stretch>
      </xdr:blipFill>
      <xdr:spPr>
        <a:xfrm>
          <a:off x="47625" y="52406550"/>
          <a:ext cx="2333625" cy="876300"/>
        </a:xfrm>
        <a:prstGeom prst="rect">
          <a:avLst/>
        </a:prstGeom>
        <a:solidFill>
          <a:srgbClr val="CC99FF"/>
        </a:solidFill>
        <a:ln w="9525" cmpd="sng">
          <a:noFill/>
        </a:ln>
      </xdr:spPr>
    </xdr:pic>
    <xdr:clientData/>
  </xdr:twoCellAnchor>
  <xdr:twoCellAnchor editAs="oneCell">
    <xdr:from>
      <xdr:col>0</xdr:col>
      <xdr:colOff>19050</xdr:colOff>
      <xdr:row>0</xdr:row>
      <xdr:rowOff>9525</xdr:rowOff>
    </xdr:from>
    <xdr:to>
      <xdr:col>9</xdr:col>
      <xdr:colOff>247650</xdr:colOff>
      <xdr:row>3</xdr:row>
      <xdr:rowOff>180975</xdr:rowOff>
    </xdr:to>
    <xdr:pic>
      <xdr:nvPicPr>
        <xdr:cNvPr id="2" name="Picture 2" descr="mainheader_760x110"/>
        <xdr:cNvPicPr preferRelativeResize="1">
          <a:picLocks noChangeAspect="1"/>
        </xdr:cNvPicPr>
      </xdr:nvPicPr>
      <xdr:blipFill>
        <a:blip r:embed="rId2"/>
        <a:stretch>
          <a:fillRect/>
        </a:stretch>
      </xdr:blipFill>
      <xdr:spPr>
        <a:xfrm>
          <a:off x="19050" y="9525"/>
          <a:ext cx="551497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2</xdr:row>
      <xdr:rowOff>9525</xdr:rowOff>
    </xdr:from>
    <xdr:to>
      <xdr:col>10</xdr:col>
      <xdr:colOff>0</xdr:colOff>
      <xdr:row>9</xdr:row>
      <xdr:rowOff>76200</xdr:rowOff>
    </xdr:to>
    <xdr:pic>
      <xdr:nvPicPr>
        <xdr:cNvPr id="1" name="Picture 2" descr="Body Condition Score 1"/>
        <xdr:cNvPicPr preferRelativeResize="1">
          <a:picLocks noChangeAspect="1"/>
        </xdr:cNvPicPr>
      </xdr:nvPicPr>
      <xdr:blipFill>
        <a:blip r:embed="rId1"/>
        <a:stretch>
          <a:fillRect/>
        </a:stretch>
      </xdr:blipFill>
      <xdr:spPr>
        <a:xfrm>
          <a:off x="3562350" y="333375"/>
          <a:ext cx="1676400" cy="1200150"/>
        </a:xfrm>
        <a:prstGeom prst="rect">
          <a:avLst/>
        </a:prstGeom>
        <a:noFill/>
        <a:ln w="9525" cmpd="sng">
          <a:noFill/>
        </a:ln>
      </xdr:spPr>
    </xdr:pic>
    <xdr:clientData/>
  </xdr:twoCellAnchor>
  <xdr:twoCellAnchor editAs="oneCell">
    <xdr:from>
      <xdr:col>13</xdr:col>
      <xdr:colOff>19050</xdr:colOff>
      <xdr:row>2</xdr:row>
      <xdr:rowOff>9525</xdr:rowOff>
    </xdr:from>
    <xdr:to>
      <xdr:col>16</xdr:col>
      <xdr:colOff>9525</xdr:colOff>
      <xdr:row>9</xdr:row>
      <xdr:rowOff>66675</xdr:rowOff>
    </xdr:to>
    <xdr:pic>
      <xdr:nvPicPr>
        <xdr:cNvPr id="2" name="Picture 4" descr="Body Condition Score 3"/>
        <xdr:cNvPicPr preferRelativeResize="1">
          <a:picLocks noChangeAspect="1"/>
        </xdr:cNvPicPr>
      </xdr:nvPicPr>
      <xdr:blipFill>
        <a:blip r:embed="rId2"/>
        <a:stretch>
          <a:fillRect/>
        </a:stretch>
      </xdr:blipFill>
      <xdr:spPr>
        <a:xfrm>
          <a:off x="6562725" y="333375"/>
          <a:ext cx="1676400" cy="1190625"/>
        </a:xfrm>
        <a:prstGeom prst="rect">
          <a:avLst/>
        </a:prstGeom>
        <a:noFill/>
        <a:ln w="9525" cmpd="sng">
          <a:noFill/>
        </a:ln>
      </xdr:spPr>
    </xdr:pic>
    <xdr:clientData/>
  </xdr:twoCellAnchor>
  <xdr:twoCellAnchor editAs="oneCell">
    <xdr:from>
      <xdr:col>13</xdr:col>
      <xdr:colOff>19050</xdr:colOff>
      <xdr:row>32</xdr:row>
      <xdr:rowOff>9525</xdr:rowOff>
    </xdr:from>
    <xdr:to>
      <xdr:col>16</xdr:col>
      <xdr:colOff>9525</xdr:colOff>
      <xdr:row>39</xdr:row>
      <xdr:rowOff>47625</xdr:rowOff>
    </xdr:to>
    <xdr:pic>
      <xdr:nvPicPr>
        <xdr:cNvPr id="3" name="Picture 5" descr="Body Condition Score 9"/>
        <xdr:cNvPicPr preferRelativeResize="1">
          <a:picLocks noChangeAspect="1"/>
        </xdr:cNvPicPr>
      </xdr:nvPicPr>
      <xdr:blipFill>
        <a:blip r:embed="rId3"/>
        <a:stretch>
          <a:fillRect/>
        </a:stretch>
      </xdr:blipFill>
      <xdr:spPr>
        <a:xfrm>
          <a:off x="6562725" y="4943475"/>
          <a:ext cx="1676400" cy="1171575"/>
        </a:xfrm>
        <a:prstGeom prst="rect">
          <a:avLst/>
        </a:prstGeom>
        <a:noFill/>
        <a:ln w="9525" cmpd="sng">
          <a:noFill/>
        </a:ln>
      </xdr:spPr>
    </xdr:pic>
    <xdr:clientData/>
  </xdr:twoCellAnchor>
  <xdr:twoCellAnchor editAs="oneCell">
    <xdr:from>
      <xdr:col>1</xdr:col>
      <xdr:colOff>19050</xdr:colOff>
      <xdr:row>16</xdr:row>
      <xdr:rowOff>9525</xdr:rowOff>
    </xdr:from>
    <xdr:to>
      <xdr:col>4</xdr:col>
      <xdr:colOff>9525</xdr:colOff>
      <xdr:row>23</xdr:row>
      <xdr:rowOff>47625</xdr:rowOff>
    </xdr:to>
    <xdr:pic>
      <xdr:nvPicPr>
        <xdr:cNvPr id="4" name="Picture 6" descr="Body Condition Score 4"/>
        <xdr:cNvPicPr preferRelativeResize="1">
          <a:picLocks noChangeAspect="1"/>
        </xdr:cNvPicPr>
      </xdr:nvPicPr>
      <xdr:blipFill>
        <a:blip r:embed="rId4"/>
        <a:stretch>
          <a:fillRect/>
        </a:stretch>
      </xdr:blipFill>
      <xdr:spPr>
        <a:xfrm>
          <a:off x="581025" y="2486025"/>
          <a:ext cx="1676400" cy="1171575"/>
        </a:xfrm>
        <a:prstGeom prst="rect">
          <a:avLst/>
        </a:prstGeom>
        <a:noFill/>
        <a:ln w="9525" cmpd="sng">
          <a:noFill/>
        </a:ln>
      </xdr:spPr>
    </xdr:pic>
    <xdr:clientData/>
  </xdr:twoCellAnchor>
  <xdr:twoCellAnchor editAs="oneCell">
    <xdr:from>
      <xdr:col>7</xdr:col>
      <xdr:colOff>19050</xdr:colOff>
      <xdr:row>16</xdr:row>
      <xdr:rowOff>9525</xdr:rowOff>
    </xdr:from>
    <xdr:to>
      <xdr:col>10</xdr:col>
      <xdr:colOff>9525</xdr:colOff>
      <xdr:row>23</xdr:row>
      <xdr:rowOff>38100</xdr:rowOff>
    </xdr:to>
    <xdr:pic>
      <xdr:nvPicPr>
        <xdr:cNvPr id="5" name="Picture 7" descr="Body Condition Score 5"/>
        <xdr:cNvPicPr preferRelativeResize="1">
          <a:picLocks noChangeAspect="1"/>
        </xdr:cNvPicPr>
      </xdr:nvPicPr>
      <xdr:blipFill>
        <a:blip r:embed="rId5"/>
        <a:stretch>
          <a:fillRect/>
        </a:stretch>
      </xdr:blipFill>
      <xdr:spPr>
        <a:xfrm>
          <a:off x="3571875" y="2486025"/>
          <a:ext cx="1676400" cy="1162050"/>
        </a:xfrm>
        <a:prstGeom prst="rect">
          <a:avLst/>
        </a:prstGeom>
        <a:noFill/>
        <a:ln w="9525" cmpd="sng">
          <a:noFill/>
        </a:ln>
      </xdr:spPr>
    </xdr:pic>
    <xdr:clientData/>
  </xdr:twoCellAnchor>
  <xdr:twoCellAnchor editAs="oneCell">
    <xdr:from>
      <xdr:col>13</xdr:col>
      <xdr:colOff>19050</xdr:colOff>
      <xdr:row>16</xdr:row>
      <xdr:rowOff>9525</xdr:rowOff>
    </xdr:from>
    <xdr:to>
      <xdr:col>16</xdr:col>
      <xdr:colOff>9525</xdr:colOff>
      <xdr:row>23</xdr:row>
      <xdr:rowOff>47625</xdr:rowOff>
    </xdr:to>
    <xdr:pic>
      <xdr:nvPicPr>
        <xdr:cNvPr id="6" name="Picture 8" descr="Body Condition Score 6"/>
        <xdr:cNvPicPr preferRelativeResize="1">
          <a:picLocks noChangeAspect="1"/>
        </xdr:cNvPicPr>
      </xdr:nvPicPr>
      <xdr:blipFill>
        <a:blip r:embed="rId6"/>
        <a:stretch>
          <a:fillRect/>
        </a:stretch>
      </xdr:blipFill>
      <xdr:spPr>
        <a:xfrm>
          <a:off x="6562725" y="2486025"/>
          <a:ext cx="1676400" cy="1171575"/>
        </a:xfrm>
        <a:prstGeom prst="rect">
          <a:avLst/>
        </a:prstGeom>
        <a:noFill/>
        <a:ln w="9525" cmpd="sng">
          <a:noFill/>
        </a:ln>
      </xdr:spPr>
    </xdr:pic>
    <xdr:clientData/>
  </xdr:twoCellAnchor>
  <xdr:twoCellAnchor editAs="oneCell">
    <xdr:from>
      <xdr:col>1</xdr:col>
      <xdr:colOff>19050</xdr:colOff>
      <xdr:row>32</xdr:row>
      <xdr:rowOff>9525</xdr:rowOff>
    </xdr:from>
    <xdr:to>
      <xdr:col>4</xdr:col>
      <xdr:colOff>9525</xdr:colOff>
      <xdr:row>39</xdr:row>
      <xdr:rowOff>38100</xdr:rowOff>
    </xdr:to>
    <xdr:pic>
      <xdr:nvPicPr>
        <xdr:cNvPr id="7" name="Picture 9" descr="Body Condition Score 7"/>
        <xdr:cNvPicPr preferRelativeResize="1">
          <a:picLocks noChangeAspect="1"/>
        </xdr:cNvPicPr>
      </xdr:nvPicPr>
      <xdr:blipFill>
        <a:blip r:embed="rId7"/>
        <a:stretch>
          <a:fillRect/>
        </a:stretch>
      </xdr:blipFill>
      <xdr:spPr>
        <a:xfrm>
          <a:off x="581025" y="4943475"/>
          <a:ext cx="1676400" cy="1162050"/>
        </a:xfrm>
        <a:prstGeom prst="rect">
          <a:avLst/>
        </a:prstGeom>
        <a:noFill/>
        <a:ln w="9525" cmpd="sng">
          <a:noFill/>
        </a:ln>
      </xdr:spPr>
    </xdr:pic>
    <xdr:clientData/>
  </xdr:twoCellAnchor>
  <xdr:twoCellAnchor editAs="oneCell">
    <xdr:from>
      <xdr:col>7</xdr:col>
      <xdr:colOff>19050</xdr:colOff>
      <xdr:row>32</xdr:row>
      <xdr:rowOff>9525</xdr:rowOff>
    </xdr:from>
    <xdr:to>
      <xdr:col>10</xdr:col>
      <xdr:colOff>9525</xdr:colOff>
      <xdr:row>39</xdr:row>
      <xdr:rowOff>47625</xdr:rowOff>
    </xdr:to>
    <xdr:pic>
      <xdr:nvPicPr>
        <xdr:cNvPr id="8" name="Picture 10" descr="Body Condition Score 8"/>
        <xdr:cNvPicPr preferRelativeResize="1">
          <a:picLocks noChangeAspect="1"/>
        </xdr:cNvPicPr>
      </xdr:nvPicPr>
      <xdr:blipFill>
        <a:blip r:embed="rId8"/>
        <a:stretch>
          <a:fillRect/>
        </a:stretch>
      </xdr:blipFill>
      <xdr:spPr>
        <a:xfrm>
          <a:off x="3571875" y="4943475"/>
          <a:ext cx="1676400" cy="1171575"/>
        </a:xfrm>
        <a:prstGeom prst="rect">
          <a:avLst/>
        </a:prstGeom>
        <a:noFill/>
        <a:ln w="9525" cmpd="sng">
          <a:noFill/>
        </a:ln>
      </xdr:spPr>
    </xdr:pic>
    <xdr:clientData/>
  </xdr:twoCellAnchor>
  <xdr:twoCellAnchor>
    <xdr:from>
      <xdr:col>1</xdr:col>
      <xdr:colOff>28575</xdr:colOff>
      <xdr:row>0</xdr:row>
      <xdr:rowOff>57150</xdr:rowOff>
    </xdr:from>
    <xdr:to>
      <xdr:col>16</xdr:col>
      <xdr:colOff>0</xdr:colOff>
      <xdr:row>1</xdr:row>
      <xdr:rowOff>104775</xdr:rowOff>
    </xdr:to>
    <xdr:sp>
      <xdr:nvSpPr>
        <xdr:cNvPr id="9" name="Text Box 13">
          <a:hlinkClick r:id="rId9"/>
        </xdr:cNvPr>
        <xdr:cNvSpPr txBox="1">
          <a:spLocks noChangeArrowheads="1"/>
        </xdr:cNvSpPr>
      </xdr:nvSpPr>
      <xdr:spPr>
        <a:xfrm>
          <a:off x="590550" y="57150"/>
          <a:ext cx="7639050" cy="209550"/>
        </a:xfrm>
        <a:prstGeom prst="rect">
          <a:avLst/>
        </a:prstGeom>
        <a:solidFill>
          <a:srgbClr val="99CCFF"/>
        </a:solidFill>
        <a:ln w="19050" cmpd="sng">
          <a:solidFill>
            <a:srgbClr val="000090"/>
          </a:solidFill>
          <a:headEnd type="none"/>
          <a:tailEnd type="none"/>
        </a:ln>
      </xdr:spPr>
      <xdr:txBody>
        <a:bodyPr vertOverflow="clip" wrap="square" lIns="36576" tIns="22860" rIns="36576" bIns="0"/>
        <a:p>
          <a:pPr algn="ctr">
            <a:defRPr/>
          </a:pPr>
          <a:r>
            <a:rPr lang="en-US" cap="none" sz="1600" b="1" i="0" u="none" baseline="0">
              <a:solidFill>
                <a:srgbClr val="000090"/>
              </a:solidFill>
              <a:latin typeface="Arial"/>
              <a:ea typeface="Arial"/>
              <a:cs typeface="Arial"/>
            </a:rPr>
            <a:t>CLICK HERE TO RETURN TO RATION BALANCER
</a:t>
          </a:r>
          <a:r>
            <a:rPr lang="en-US" cap="none" sz="1000" b="1" i="0" u="none" baseline="0">
              <a:solidFill>
                <a:srgbClr val="000090"/>
              </a:solidFill>
              <a:latin typeface="Arial"/>
              <a:ea typeface="Arial"/>
              <a:cs typeface="Arial"/>
            </a:rPr>
            <a:t>
</a:t>
          </a:r>
          <a:r>
            <a:rPr lang="en-US" cap="none" sz="1000" b="1" i="0" u="none" baseline="0">
              <a:solidFill>
                <a:srgbClr val="000090"/>
              </a:solidFill>
              <a:latin typeface="Arial"/>
              <a:ea typeface="Arial"/>
              <a:cs typeface="Arial"/>
            </a:rPr>
            <a:t>Return to Ration Balancer</a:t>
          </a:r>
        </a:p>
      </xdr:txBody>
    </xdr:sp>
    <xdr:clientData/>
  </xdr:twoCellAnchor>
  <xdr:twoCellAnchor editAs="oneCell">
    <xdr:from>
      <xdr:col>1</xdr:col>
      <xdr:colOff>28575</xdr:colOff>
      <xdr:row>2</xdr:row>
      <xdr:rowOff>9525</xdr:rowOff>
    </xdr:from>
    <xdr:to>
      <xdr:col>4</xdr:col>
      <xdr:colOff>19050</xdr:colOff>
      <xdr:row>9</xdr:row>
      <xdr:rowOff>66675</xdr:rowOff>
    </xdr:to>
    <xdr:pic>
      <xdr:nvPicPr>
        <xdr:cNvPr id="10" name="Picture 14" descr="Body Condition Score 1"/>
        <xdr:cNvPicPr preferRelativeResize="1">
          <a:picLocks noChangeAspect="1"/>
        </xdr:cNvPicPr>
      </xdr:nvPicPr>
      <xdr:blipFill>
        <a:blip r:embed="rId10"/>
        <a:stretch>
          <a:fillRect/>
        </a:stretch>
      </xdr:blipFill>
      <xdr:spPr>
        <a:xfrm>
          <a:off x="590550" y="333375"/>
          <a:ext cx="1676400" cy="1190625"/>
        </a:xfrm>
        <a:prstGeom prst="rect">
          <a:avLst/>
        </a:prstGeom>
        <a:noFill/>
        <a:ln w="9525" cmpd="sng">
          <a:noFill/>
        </a:ln>
      </xdr:spPr>
    </xdr:pic>
    <xdr:clientData/>
  </xdr:twoCellAnchor>
  <xdr:twoCellAnchor>
    <xdr:from>
      <xdr:col>0</xdr:col>
      <xdr:colOff>19050</xdr:colOff>
      <xdr:row>48</xdr:row>
      <xdr:rowOff>104775</xdr:rowOff>
    </xdr:from>
    <xdr:to>
      <xdr:col>3</xdr:col>
      <xdr:colOff>409575</xdr:colOff>
      <xdr:row>54</xdr:row>
      <xdr:rowOff>57150</xdr:rowOff>
    </xdr:to>
    <xdr:pic>
      <xdr:nvPicPr>
        <xdr:cNvPr id="11" name="Picture 15" descr="extensionwdmk"/>
        <xdr:cNvPicPr preferRelativeResize="1">
          <a:picLocks noChangeAspect="1"/>
        </xdr:cNvPicPr>
      </xdr:nvPicPr>
      <xdr:blipFill>
        <a:blip r:embed="rId11"/>
        <a:stretch>
          <a:fillRect/>
        </a:stretch>
      </xdr:blipFill>
      <xdr:spPr>
        <a:xfrm>
          <a:off x="19050" y="7553325"/>
          <a:ext cx="2076450" cy="971550"/>
        </a:xfrm>
        <a:prstGeom prst="rect">
          <a:avLst/>
        </a:prstGeom>
        <a:solidFill>
          <a:srgbClr val="CC99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238125</xdr:colOff>
      <xdr:row>3</xdr:row>
      <xdr:rowOff>180975</xdr:rowOff>
    </xdr:to>
    <xdr:pic>
      <xdr:nvPicPr>
        <xdr:cNvPr id="1" name="Picture 1" descr="mainheader_760x110"/>
        <xdr:cNvPicPr preferRelativeResize="1">
          <a:picLocks noChangeAspect="1"/>
        </xdr:cNvPicPr>
      </xdr:nvPicPr>
      <xdr:blipFill>
        <a:blip r:embed="rId1"/>
        <a:stretch>
          <a:fillRect/>
        </a:stretch>
      </xdr:blipFill>
      <xdr:spPr>
        <a:xfrm>
          <a:off x="9525" y="9525"/>
          <a:ext cx="5543550" cy="857250"/>
        </a:xfrm>
        <a:prstGeom prst="rect">
          <a:avLst/>
        </a:prstGeom>
        <a:noFill/>
        <a:ln w="9525" cmpd="sng">
          <a:noFill/>
        </a:ln>
      </xdr:spPr>
    </xdr:pic>
    <xdr:clientData/>
  </xdr:twoCellAnchor>
  <xdr:twoCellAnchor>
    <xdr:from>
      <xdr:col>0</xdr:col>
      <xdr:colOff>19050</xdr:colOff>
      <xdr:row>32</xdr:row>
      <xdr:rowOff>104775</xdr:rowOff>
    </xdr:from>
    <xdr:to>
      <xdr:col>3</xdr:col>
      <xdr:colOff>400050</xdr:colOff>
      <xdr:row>38</xdr:row>
      <xdr:rowOff>57150</xdr:rowOff>
    </xdr:to>
    <xdr:pic>
      <xdr:nvPicPr>
        <xdr:cNvPr id="2" name="Picture 2" descr="extensionwdmk"/>
        <xdr:cNvPicPr preferRelativeResize="1">
          <a:picLocks noChangeAspect="1"/>
        </xdr:cNvPicPr>
      </xdr:nvPicPr>
      <xdr:blipFill>
        <a:blip r:embed="rId2"/>
        <a:stretch>
          <a:fillRect/>
        </a:stretch>
      </xdr:blipFill>
      <xdr:spPr>
        <a:xfrm>
          <a:off x="19050" y="7248525"/>
          <a:ext cx="2152650" cy="971550"/>
        </a:xfrm>
        <a:prstGeom prst="rect">
          <a:avLst/>
        </a:prstGeom>
        <a:solidFill>
          <a:srgbClr val="CC99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ers010@umn.edu"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boers010@umn.edu"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boers010@umn.edu"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boers010@umn.edu"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boers010@umn.edu"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boers010@umn.edu"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mailto:boers010@umn.edu" TargetMode="Externa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16"/>
  </sheetPr>
  <dimension ref="A1:AQ496"/>
  <sheetViews>
    <sheetView showRowColHeaders="0" tabSelected="1" zoomScalePageLayoutView="0" workbookViewId="0" topLeftCell="A1">
      <pane ySplit="6" topLeftCell="A13" activePane="bottomLeft" state="frozen"/>
      <selection pane="topLeft" activeCell="A1" sqref="A1"/>
      <selection pane="bottomLeft" activeCell="O8" sqref="O8"/>
    </sheetView>
  </sheetViews>
  <sheetFormatPr defaultColWidth="8.8515625" defaultRowHeight="12.75"/>
  <sheetData>
    <row r="1" spans="1:43" ht="18" customHeight="1">
      <c r="A1" s="5"/>
      <c r="B1" s="5"/>
      <c r="C1" s="5"/>
      <c r="D1" s="5"/>
      <c r="E1" s="5"/>
      <c r="F1" s="5"/>
      <c r="G1" s="5"/>
      <c r="H1" s="5"/>
      <c r="I1" s="5"/>
      <c r="J1" s="6"/>
      <c r="K1" s="6" t="s">
        <v>290</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18" customHeight="1">
      <c r="A2" s="5"/>
      <c r="B2" s="5"/>
      <c r="C2" s="5"/>
      <c r="D2" s="5"/>
      <c r="E2" s="5"/>
      <c r="F2" s="5"/>
      <c r="G2" s="5"/>
      <c r="H2" s="5"/>
      <c r="I2" s="5"/>
      <c r="J2" s="7"/>
      <c r="K2" s="7" t="s">
        <v>291</v>
      </c>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43" ht="18" customHeight="1">
      <c r="A3" s="5"/>
      <c r="B3" s="5"/>
      <c r="C3" s="5"/>
      <c r="D3" s="5"/>
      <c r="E3" s="5"/>
      <c r="F3" s="5"/>
      <c r="G3" s="5"/>
      <c r="H3" s="5"/>
      <c r="I3" s="5"/>
      <c r="J3" s="7"/>
      <c r="K3" s="7" t="s">
        <v>292</v>
      </c>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ht="18" customHeight="1">
      <c r="A4" s="5"/>
      <c r="B4" s="5"/>
      <c r="C4" s="5"/>
      <c r="D4" s="5"/>
      <c r="E4" s="5"/>
      <c r="F4" s="5"/>
      <c r="G4" s="5"/>
      <c r="H4" s="5"/>
      <c r="I4" s="5"/>
      <c r="J4" s="8"/>
      <c r="K4" s="8" t="s">
        <v>293</v>
      </c>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3" ht="18"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row>
    <row r="6" spans="1:43" ht="15.75">
      <c r="A6" s="327" t="s">
        <v>297</v>
      </c>
      <c r="B6" s="327"/>
      <c r="C6" s="327"/>
      <c r="D6" s="327"/>
      <c r="E6" s="327"/>
      <c r="F6" s="327"/>
      <c r="G6" s="327"/>
      <c r="H6" s="327"/>
      <c r="I6" s="9"/>
      <c r="J6" s="9"/>
      <c r="K6" s="9"/>
      <c r="L6" s="9"/>
      <c r="M6" s="9"/>
      <c r="N6" s="9"/>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58.5" customHeight="1">
      <c r="A7" s="326" t="s">
        <v>19</v>
      </c>
      <c r="B7" s="326"/>
      <c r="C7" s="326"/>
      <c r="D7" s="326"/>
      <c r="E7" s="326"/>
      <c r="F7" s="326"/>
      <c r="G7" s="326"/>
      <c r="H7" s="326"/>
      <c r="I7" s="326"/>
      <c r="J7" s="326"/>
      <c r="K7" s="326"/>
      <c r="L7" s="326"/>
      <c r="M7" s="326"/>
      <c r="N7" s="326"/>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64.5" customHeight="1">
      <c r="A8" s="326" t="s">
        <v>10</v>
      </c>
      <c r="B8" s="326"/>
      <c r="C8" s="326"/>
      <c r="D8" s="326"/>
      <c r="E8" s="326"/>
      <c r="F8" s="326"/>
      <c r="G8" s="326"/>
      <c r="H8" s="326"/>
      <c r="I8" s="326"/>
      <c r="J8" s="326"/>
      <c r="K8" s="326"/>
      <c r="L8" s="326"/>
      <c r="M8" s="326"/>
      <c r="N8" s="326"/>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ht="77.25" customHeight="1">
      <c r="A9" s="326" t="s">
        <v>306</v>
      </c>
      <c r="B9" s="326"/>
      <c r="C9" s="326"/>
      <c r="D9" s="326"/>
      <c r="E9" s="326"/>
      <c r="F9" s="326"/>
      <c r="G9" s="326"/>
      <c r="H9" s="326"/>
      <c r="I9" s="326"/>
      <c r="J9" s="326"/>
      <c r="K9" s="326"/>
      <c r="L9" s="326"/>
      <c r="M9" s="326"/>
      <c r="N9" s="326"/>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ht="30.75" customHeight="1">
      <c r="A10" s="326" t="s">
        <v>307</v>
      </c>
      <c r="B10" s="326"/>
      <c r="C10" s="326"/>
      <c r="D10" s="326"/>
      <c r="E10" s="326"/>
      <c r="F10" s="326"/>
      <c r="G10" s="326"/>
      <c r="H10" s="326"/>
      <c r="I10" s="326"/>
      <c r="J10" s="326"/>
      <c r="K10" s="326"/>
      <c r="L10" s="326"/>
      <c r="M10" s="326"/>
      <c r="N10" s="326"/>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ht="21" customHeight="1">
      <c r="A11" s="66"/>
      <c r="B11" s="66"/>
      <c r="C11" s="66"/>
      <c r="D11" s="66"/>
      <c r="E11" s="66"/>
      <c r="F11" s="66"/>
      <c r="G11" s="66"/>
      <c r="H11" s="66"/>
      <c r="I11" s="66"/>
      <c r="J11" s="66"/>
      <c r="K11" s="66"/>
      <c r="L11" s="66"/>
      <c r="M11" s="66"/>
      <c r="N11" s="66"/>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ht="16.5">
      <c r="A12" s="328" t="s">
        <v>296</v>
      </c>
      <c r="B12" s="328"/>
      <c r="C12" s="328"/>
      <c r="D12" s="328"/>
      <c r="E12" s="328"/>
      <c r="F12" s="328"/>
      <c r="G12" s="328"/>
      <c r="H12" s="328"/>
      <c r="I12" s="328"/>
      <c r="J12" s="328"/>
      <c r="K12" s="328"/>
      <c r="L12" s="328"/>
      <c r="M12" s="328"/>
      <c r="N12" s="328"/>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20.25" customHeight="1">
      <c r="A13" s="326" t="s">
        <v>18</v>
      </c>
      <c r="B13" s="326"/>
      <c r="C13" s="326"/>
      <c r="D13" s="326"/>
      <c r="E13" s="326"/>
      <c r="F13" s="326"/>
      <c r="G13" s="326"/>
      <c r="H13" s="326"/>
      <c r="I13" s="326"/>
      <c r="J13" s="326"/>
      <c r="K13" s="326"/>
      <c r="L13" s="326"/>
      <c r="M13" s="326"/>
      <c r="N13" s="326"/>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6.5">
      <c r="A14" s="326" t="s">
        <v>20</v>
      </c>
      <c r="B14" s="326"/>
      <c r="C14" s="326"/>
      <c r="D14" s="326"/>
      <c r="E14" s="326"/>
      <c r="F14" s="326"/>
      <c r="G14" s="326"/>
      <c r="H14" s="326"/>
      <c r="I14" s="326"/>
      <c r="J14" s="326"/>
      <c r="K14" s="326"/>
      <c r="L14" s="326"/>
      <c r="M14" s="326"/>
      <c r="N14" s="326"/>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6.5">
      <c r="A15" s="326" t="s">
        <v>298</v>
      </c>
      <c r="B15" s="326"/>
      <c r="C15" s="326"/>
      <c r="D15" s="326"/>
      <c r="E15" s="326"/>
      <c r="F15" s="326"/>
      <c r="G15" s="326"/>
      <c r="H15" s="326"/>
      <c r="I15" s="326"/>
      <c r="J15" s="326"/>
      <c r="K15" s="326"/>
      <c r="L15" s="326"/>
      <c r="M15" s="326"/>
      <c r="N15" s="326"/>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27" customHeight="1">
      <c r="A16" s="136" t="s">
        <v>299</v>
      </c>
      <c r="B16" s="67"/>
      <c r="C16" s="67"/>
      <c r="D16" s="67"/>
      <c r="E16" s="67"/>
      <c r="F16" s="67"/>
      <c r="G16" s="67"/>
      <c r="H16" s="67"/>
      <c r="I16" s="67"/>
      <c r="J16" s="67"/>
      <c r="K16" s="67"/>
      <c r="L16" s="67"/>
      <c r="M16" s="67"/>
      <c r="N16" s="67"/>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8" customHeight="1">
      <c r="A17" s="137" t="s">
        <v>23</v>
      </c>
      <c r="B17" s="326" t="s">
        <v>22</v>
      </c>
      <c r="C17" s="326"/>
      <c r="D17" s="326"/>
      <c r="E17" s="326"/>
      <c r="F17" s="326"/>
      <c r="G17" s="326"/>
      <c r="H17" s="326"/>
      <c r="I17" s="326"/>
      <c r="J17" s="326"/>
      <c r="K17" s="326"/>
      <c r="L17" s="326"/>
      <c r="M17" s="326"/>
      <c r="N17" s="326"/>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ht="33" customHeight="1">
      <c r="A18" s="137" t="s">
        <v>24</v>
      </c>
      <c r="B18" s="326" t="s">
        <v>26</v>
      </c>
      <c r="C18" s="326"/>
      <c r="D18" s="326"/>
      <c r="E18" s="326"/>
      <c r="F18" s="326"/>
      <c r="G18" s="326"/>
      <c r="H18" s="326"/>
      <c r="I18" s="326"/>
      <c r="J18" s="326"/>
      <c r="K18" s="326"/>
      <c r="L18" s="326"/>
      <c r="M18" s="326"/>
      <c r="N18" s="326"/>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84.75" customHeight="1">
      <c r="A19" s="137" t="s">
        <v>25</v>
      </c>
      <c r="B19" s="326" t="s">
        <v>11</v>
      </c>
      <c r="C19" s="326"/>
      <c r="D19" s="326"/>
      <c r="E19" s="326"/>
      <c r="F19" s="326"/>
      <c r="G19" s="326"/>
      <c r="H19" s="326"/>
      <c r="I19" s="326"/>
      <c r="J19" s="326"/>
      <c r="K19" s="326"/>
      <c r="L19" s="326"/>
      <c r="M19" s="326"/>
      <c r="N19" s="326"/>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1:43" ht="16.5">
      <c r="A20" s="137" t="s">
        <v>12</v>
      </c>
      <c r="B20" s="326" t="s">
        <v>13</v>
      </c>
      <c r="C20" s="326"/>
      <c r="D20" s="326"/>
      <c r="E20" s="326"/>
      <c r="F20" s="326"/>
      <c r="G20" s="326"/>
      <c r="H20" s="326"/>
      <c r="I20" s="326"/>
      <c r="J20" s="326"/>
      <c r="K20" s="326"/>
      <c r="L20" s="326"/>
      <c r="M20" s="326"/>
      <c r="N20" s="326"/>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1:43" ht="16.5">
      <c r="A21" s="137"/>
      <c r="B21" s="326"/>
      <c r="C21" s="326"/>
      <c r="D21" s="326"/>
      <c r="E21" s="326"/>
      <c r="F21" s="326"/>
      <c r="G21" s="326"/>
      <c r="H21" s="326"/>
      <c r="I21" s="326"/>
      <c r="J21" s="326"/>
      <c r="K21" s="326"/>
      <c r="L21" s="326"/>
      <c r="M21" s="326"/>
      <c r="N21" s="326"/>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1:43" ht="24" customHeight="1">
      <c r="A22" s="136" t="s">
        <v>300</v>
      </c>
      <c r="B22" s="67"/>
      <c r="C22" s="67"/>
      <c r="D22" s="67"/>
      <c r="E22" s="67"/>
      <c r="F22" s="67"/>
      <c r="G22" s="67"/>
      <c r="H22" s="67"/>
      <c r="I22" s="67"/>
      <c r="J22" s="67"/>
      <c r="K22" s="67"/>
      <c r="L22" s="67"/>
      <c r="M22" s="67"/>
      <c r="N22" s="67"/>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ht="31.5" customHeight="1">
      <c r="A23" s="67"/>
      <c r="B23" s="326" t="s">
        <v>595</v>
      </c>
      <c r="C23" s="326"/>
      <c r="D23" s="326"/>
      <c r="E23" s="326"/>
      <c r="F23" s="326"/>
      <c r="G23" s="326"/>
      <c r="H23" s="326"/>
      <c r="I23" s="326"/>
      <c r="J23" s="326"/>
      <c r="K23" s="326"/>
      <c r="L23" s="326"/>
      <c r="M23" s="326"/>
      <c r="N23" s="326"/>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ht="23.25" customHeight="1">
      <c r="A24" s="136" t="s">
        <v>301</v>
      </c>
      <c r="B24" s="67"/>
      <c r="C24" s="67"/>
      <c r="D24" s="67"/>
      <c r="E24" s="67"/>
      <c r="F24" s="67"/>
      <c r="G24" s="67"/>
      <c r="H24" s="67"/>
      <c r="I24" s="67"/>
      <c r="J24" s="67"/>
      <c r="K24" s="67"/>
      <c r="L24" s="67"/>
      <c r="M24" s="67"/>
      <c r="N24" s="67"/>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66.75" customHeight="1">
      <c r="A25" s="67"/>
      <c r="B25" s="326" t="s">
        <v>14</v>
      </c>
      <c r="C25" s="326"/>
      <c r="D25" s="326"/>
      <c r="E25" s="326"/>
      <c r="F25" s="326"/>
      <c r="G25" s="326"/>
      <c r="H25" s="326"/>
      <c r="I25" s="326"/>
      <c r="J25" s="326"/>
      <c r="K25" s="326"/>
      <c r="L25" s="326"/>
      <c r="M25" s="326"/>
      <c r="N25" s="326"/>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ht="16.5">
      <c r="A26" s="67"/>
      <c r="B26" s="326" t="s">
        <v>7</v>
      </c>
      <c r="C26" s="326"/>
      <c r="D26" s="326"/>
      <c r="E26" s="326"/>
      <c r="F26" s="326"/>
      <c r="G26" s="326"/>
      <c r="H26" s="326"/>
      <c r="I26" s="326"/>
      <c r="J26" s="326"/>
      <c r="K26" s="326"/>
      <c r="L26" s="326"/>
      <c r="M26" s="326"/>
      <c r="N26" s="326"/>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27" customHeight="1">
      <c r="A27" s="136" t="s">
        <v>302</v>
      </c>
      <c r="B27" s="67"/>
      <c r="C27" s="67"/>
      <c r="D27" s="67"/>
      <c r="E27" s="67"/>
      <c r="F27" s="67"/>
      <c r="G27" s="67"/>
      <c r="H27" s="67"/>
      <c r="I27" s="67"/>
      <c r="J27" s="67"/>
      <c r="K27" s="67"/>
      <c r="L27" s="67"/>
      <c r="M27" s="67"/>
      <c r="N27" s="67"/>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16.5">
      <c r="A28" s="67"/>
      <c r="B28" s="326" t="s">
        <v>15</v>
      </c>
      <c r="C28" s="326"/>
      <c r="D28" s="326"/>
      <c r="E28" s="326"/>
      <c r="F28" s="326"/>
      <c r="G28" s="326"/>
      <c r="H28" s="326"/>
      <c r="I28" s="326"/>
      <c r="J28" s="326"/>
      <c r="K28" s="326"/>
      <c r="L28" s="326"/>
      <c r="M28" s="326"/>
      <c r="N28" s="326"/>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ht="16.5">
      <c r="A29" s="67"/>
      <c r="B29" s="326" t="s">
        <v>16</v>
      </c>
      <c r="C29" s="326"/>
      <c r="D29" s="326"/>
      <c r="E29" s="326"/>
      <c r="F29" s="326"/>
      <c r="G29" s="326"/>
      <c r="H29" s="326"/>
      <c r="I29" s="326"/>
      <c r="J29" s="326"/>
      <c r="K29" s="326"/>
      <c r="L29" s="326"/>
      <c r="M29" s="326"/>
      <c r="N29" s="326"/>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30" customHeight="1">
      <c r="A30" s="136" t="s">
        <v>303</v>
      </c>
      <c r="B30" s="67"/>
      <c r="C30" s="67"/>
      <c r="D30" s="67"/>
      <c r="E30" s="67"/>
      <c r="F30" s="67"/>
      <c r="G30" s="67"/>
      <c r="H30" s="67"/>
      <c r="I30" s="67"/>
      <c r="J30" s="67"/>
      <c r="K30" s="67"/>
      <c r="L30" s="67"/>
      <c r="M30" s="67"/>
      <c r="N30" s="67"/>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1:43" ht="31.5" customHeight="1">
      <c r="A31" s="67"/>
      <c r="B31" s="326" t="s">
        <v>596</v>
      </c>
      <c r="C31" s="326"/>
      <c r="D31" s="326"/>
      <c r="E31" s="326"/>
      <c r="F31" s="326"/>
      <c r="G31" s="326"/>
      <c r="H31" s="326"/>
      <c r="I31" s="326"/>
      <c r="J31" s="326"/>
      <c r="K31" s="326"/>
      <c r="L31" s="326"/>
      <c r="M31" s="326"/>
      <c r="N31" s="326"/>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ht="16.5">
      <c r="A32" s="67"/>
      <c r="B32" s="326"/>
      <c r="C32" s="326"/>
      <c r="D32" s="326"/>
      <c r="E32" s="326"/>
      <c r="F32" s="326"/>
      <c r="G32" s="326"/>
      <c r="H32" s="326"/>
      <c r="I32" s="326"/>
      <c r="J32" s="326"/>
      <c r="K32" s="326"/>
      <c r="L32" s="326"/>
      <c r="M32" s="326"/>
      <c r="N32" s="326"/>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ht="16.5">
      <c r="A33" s="136" t="s">
        <v>21</v>
      </c>
      <c r="B33" s="67"/>
      <c r="C33" s="67"/>
      <c r="D33" s="67"/>
      <c r="E33" s="67"/>
      <c r="F33" s="67"/>
      <c r="G33" s="67"/>
      <c r="H33" s="67"/>
      <c r="I33" s="67"/>
      <c r="J33" s="67"/>
      <c r="K33" s="67"/>
      <c r="L33" s="67"/>
      <c r="M33" s="67"/>
      <c r="N33" s="67"/>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ht="49.5" customHeight="1">
      <c r="A34" s="67"/>
      <c r="B34" s="326" t="s">
        <v>597</v>
      </c>
      <c r="C34" s="326"/>
      <c r="D34" s="326"/>
      <c r="E34" s="326"/>
      <c r="F34" s="326"/>
      <c r="G34" s="326"/>
      <c r="H34" s="326"/>
      <c r="I34" s="326"/>
      <c r="J34" s="326"/>
      <c r="K34" s="326"/>
      <c r="L34" s="326"/>
      <c r="M34" s="326"/>
      <c r="N34" s="326"/>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30" customHeight="1">
      <c r="A35" s="136" t="s">
        <v>598</v>
      </c>
      <c r="B35" s="66"/>
      <c r="C35" s="66"/>
      <c r="D35" s="66"/>
      <c r="E35" s="66"/>
      <c r="F35" s="66"/>
      <c r="G35" s="66"/>
      <c r="H35" s="66"/>
      <c r="I35" s="66"/>
      <c r="J35" s="66"/>
      <c r="K35" s="66"/>
      <c r="L35" s="66"/>
      <c r="M35" s="66"/>
      <c r="N35" s="66"/>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18" customHeight="1">
      <c r="A36" s="67"/>
      <c r="B36" s="326" t="s">
        <v>506</v>
      </c>
      <c r="C36" s="326"/>
      <c r="D36" s="326"/>
      <c r="E36" s="326"/>
      <c r="F36" s="326"/>
      <c r="G36" s="326"/>
      <c r="H36" s="326"/>
      <c r="I36" s="326"/>
      <c r="J36" s="326"/>
      <c r="K36" s="326"/>
      <c r="L36" s="326"/>
      <c r="M36" s="326"/>
      <c r="N36" s="326"/>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18" customHeight="1">
      <c r="A37" s="67"/>
      <c r="B37" s="66"/>
      <c r="C37" s="66"/>
      <c r="D37" s="66"/>
      <c r="E37" s="66"/>
      <c r="F37" s="66"/>
      <c r="G37" s="66"/>
      <c r="H37" s="66"/>
      <c r="I37" s="66"/>
      <c r="J37" s="66"/>
      <c r="K37" s="66"/>
      <c r="L37" s="66"/>
      <c r="M37" s="66"/>
      <c r="N37" s="66"/>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16.5">
      <c r="A38" s="67"/>
      <c r="B38" s="326"/>
      <c r="C38" s="326"/>
      <c r="D38" s="326"/>
      <c r="E38" s="326"/>
      <c r="F38" s="326"/>
      <c r="G38" s="326"/>
      <c r="H38" s="326"/>
      <c r="I38" s="326"/>
      <c r="J38" s="326"/>
      <c r="K38" s="326"/>
      <c r="L38" s="326"/>
      <c r="M38" s="326"/>
      <c r="N38" s="326"/>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18.75" customHeight="1">
      <c r="A39" s="325" t="s">
        <v>8</v>
      </c>
      <c r="B39" s="67"/>
      <c r="C39" s="67"/>
      <c r="D39" s="67"/>
      <c r="E39" s="67"/>
      <c r="F39" s="67"/>
      <c r="G39" s="67"/>
      <c r="H39" s="67"/>
      <c r="I39" s="67"/>
      <c r="J39" s="67"/>
      <c r="K39" s="67"/>
      <c r="L39" s="67"/>
      <c r="M39" s="67"/>
      <c r="N39" s="67"/>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34.5" customHeight="1">
      <c r="A40" s="326" t="s">
        <v>9</v>
      </c>
      <c r="B40" s="326"/>
      <c r="C40" s="326"/>
      <c r="D40" s="326"/>
      <c r="E40" s="326"/>
      <c r="F40" s="326"/>
      <c r="G40" s="326"/>
      <c r="H40" s="326"/>
      <c r="I40" s="326"/>
      <c r="J40" s="326"/>
      <c r="K40" s="326"/>
      <c r="L40" s="326"/>
      <c r="M40" s="326"/>
      <c r="N40" s="326"/>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16.5">
      <c r="A41" s="67"/>
      <c r="B41" s="66"/>
      <c r="C41" s="66"/>
      <c r="D41" s="66"/>
      <c r="E41" s="66"/>
      <c r="F41" s="66"/>
      <c r="G41" s="66"/>
      <c r="H41" s="66"/>
      <c r="I41" s="66"/>
      <c r="J41" s="66"/>
      <c r="K41" s="66"/>
      <c r="L41" s="66"/>
      <c r="M41" s="66"/>
      <c r="N41" s="66"/>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2.75" customHeight="1">
      <c r="A43" s="5"/>
      <c r="B43" s="5"/>
      <c r="C43" s="5"/>
      <c r="D43" s="5"/>
      <c r="E43" s="10" t="s">
        <v>304</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2.75" customHeight="1">
      <c r="A44" s="5"/>
      <c r="B44" s="5"/>
      <c r="C44" s="5"/>
      <c r="D44" s="5"/>
      <c r="E44" s="10" t="s">
        <v>305</v>
      </c>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2.7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13.5">
      <c r="A46" s="5"/>
      <c r="B46" s="5"/>
      <c r="C46" s="5"/>
      <c r="D46" s="5"/>
      <c r="E46" s="10" t="s">
        <v>294</v>
      </c>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13.5">
      <c r="A47" s="5"/>
      <c r="B47" s="5"/>
      <c r="C47" s="5"/>
      <c r="D47" s="5"/>
      <c r="E47" s="10" t="s">
        <v>295</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13.5">
      <c r="A48" s="5"/>
      <c r="B48" s="5"/>
      <c r="C48" s="5"/>
      <c r="D48" s="5"/>
      <c r="E48" s="10"/>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ht="13.5">
      <c r="A49" s="5"/>
      <c r="B49" s="5"/>
      <c r="C49" s="5"/>
      <c r="D49" s="5"/>
      <c r="E49" s="10"/>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ht="13.5">
      <c r="A50" s="5"/>
      <c r="B50" s="5"/>
      <c r="C50" s="5"/>
      <c r="D50" s="5"/>
      <c r="E50" s="1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ht="13.5" hidden="1">
      <c r="A51" s="5"/>
      <c r="B51" s="5"/>
      <c r="C51" s="5"/>
      <c r="D51" s="5"/>
      <c r="E51" s="10"/>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43" ht="13.5" hidden="1">
      <c r="A52" s="5"/>
      <c r="B52" s="5"/>
      <c r="C52" s="5"/>
      <c r="D52" s="5"/>
      <c r="E52" s="10"/>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13.5" hidden="1">
      <c r="A53" s="5"/>
      <c r="B53" s="5"/>
      <c r="C53" s="5"/>
      <c r="D53" s="5"/>
      <c r="E53" s="10"/>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2.75" customHeight="1" hidden="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2.75" hidden="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2.75" hidden="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09.5" customHeight="1" hidden="1">
      <c r="A57" s="326" t="s">
        <v>17</v>
      </c>
      <c r="B57" s="326"/>
      <c r="C57" s="326"/>
      <c r="D57" s="326"/>
      <c r="E57" s="326"/>
      <c r="F57" s="326"/>
      <c r="G57" s="326"/>
      <c r="H57" s="326"/>
      <c r="I57" s="326"/>
      <c r="J57" s="326"/>
      <c r="K57" s="326"/>
      <c r="L57" s="326"/>
      <c r="M57" s="326"/>
      <c r="N57" s="326"/>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2.75" hidden="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2.75" hidden="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2.75" hidden="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2.75" hidden="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2.75" hidden="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2.75" hidden="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2.75" hidden="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ht="12.75" hidden="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ht="12.75" hidden="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ht="12.75" hidden="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43" ht="12.75" hidden="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43" ht="12.75" hidden="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43" ht="12.75" hidden="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ht="12.75" hidden="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43" ht="12.75" hidden="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43" ht="12.75" hidden="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ht="12.75" hidden="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row>
    <row r="75" spans="1:43" ht="12.75" hidden="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row>
    <row r="76" spans="1:43" ht="12.75" hidden="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ht="12.75" hidden="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3" ht="12.75" hidden="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3" ht="12.75" hidden="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1:4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2" spans="1:4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row>
    <row r="90" spans="1:4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row>
    <row r="91" spans="1:4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row>
    <row r="92" spans="1:43"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row>
    <row r="93" spans="1:43"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row>
    <row r="94" spans="1:43"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row>
    <row r="95" spans="1:43"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row>
    <row r="97" spans="1:43"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row>
    <row r="98" spans="1:43"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row>
    <row r="99" spans="1:43"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row>
    <row r="100" spans="1:43"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row>
    <row r="101" spans="1:43"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row>
    <row r="102" spans="1:43"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row>
    <row r="104" spans="1:43"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row>
    <row r="105" spans="1:43"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row>
    <row r="106" spans="1:43"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row>
    <row r="107" spans="1:43"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row>
    <row r="108" spans="1:43"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row>
    <row r="109" spans="1:43"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row>
    <row r="110" spans="1:43"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row>
    <row r="111" spans="1:43"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row>
    <row r="112" spans="1:43"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row>
    <row r="113" spans="1:43"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row>
    <row r="114" spans="1:43"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row>
    <row r="115" spans="1:43"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row>
    <row r="116" spans="1:43"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row>
    <row r="117" spans="1:43"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row>
    <row r="118" spans="1:43"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row>
    <row r="119" spans="1:43"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row>
    <row r="120" spans="1:43"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43"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43"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row>
    <row r="123" spans="1:43"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row>
    <row r="124" spans="1:43"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row>
    <row r="125" spans="1:43"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row>
    <row r="126" spans="1:43"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row>
    <row r="127" spans="1:43"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row>
    <row r="128" spans="1:43"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row>
    <row r="129" spans="1:43"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row>
    <row r="130" spans="1:43"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row>
    <row r="131" spans="1:43"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row>
    <row r="132" spans="1:43"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row>
    <row r="133" spans="1:43"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row>
    <row r="134" spans="1:43"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row>
    <row r="135" spans="1:43"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row>
    <row r="136" spans="1:43"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row>
    <row r="137" spans="1:43"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row>
    <row r="138" spans="1:43"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row>
    <row r="139" spans="1:43"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row>
    <row r="140" spans="1:43"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row>
    <row r="141" spans="1:43"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row>
    <row r="142" spans="1:43"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row>
    <row r="143" spans="1:43"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row>
    <row r="144" spans="1:43"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row>
    <row r="145" spans="1:43"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row>
    <row r="146" spans="1:43"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row>
    <row r="147" spans="1:43"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row>
    <row r="148" spans="1:43"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row>
    <row r="149" spans="1:43"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row>
    <row r="150" spans="1:43"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row>
    <row r="151" spans="1:43"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row>
    <row r="152" spans="1:43"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row>
    <row r="153" spans="1:43"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row>
    <row r="154" spans="1:43"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row>
    <row r="155" spans="1:43"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row>
    <row r="156" spans="1:43"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row>
    <row r="157" spans="1:43"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row>
    <row r="158" spans="1:43"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row>
    <row r="159" spans="1:43"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row>
    <row r="160" spans="1:43"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row>
    <row r="161" spans="1:43"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row>
    <row r="162" spans="1:43"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row>
    <row r="163" spans="1:43"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row>
    <row r="164" spans="1:43"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row>
    <row r="165" spans="1:43"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row>
    <row r="166" spans="1:43"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row>
    <row r="167" spans="1:43"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row>
    <row r="168" spans="1:43"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row>
    <row r="169" spans="1:43"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row>
    <row r="170" spans="1:43"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row>
    <row r="171" spans="1:43"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row>
    <row r="172" spans="1:43"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row>
    <row r="173" spans="1:43"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row>
    <row r="174" spans="1:43"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row>
    <row r="175" spans="1:43"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row>
    <row r="176" spans="1:43"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row>
    <row r="177" spans="1:43"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row>
    <row r="178" spans="1:43"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row>
    <row r="179" spans="1:43"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row>
    <row r="180" spans="1:43"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row>
    <row r="181" spans="1:43"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row>
    <row r="182" spans="1:43" ht="12.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row>
    <row r="183" spans="1:43" ht="12.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row>
    <row r="184" spans="1:43"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row>
    <row r="185" spans="1:43"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row>
    <row r="186" spans="1:43"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row>
    <row r="187" spans="1:43"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row>
    <row r="188" spans="1:43"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row>
    <row r="189" spans="1:43"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row>
    <row r="190" spans="1:43"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row>
    <row r="191" spans="1:43"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row>
    <row r="192" spans="1:43"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row>
    <row r="193" spans="1:43"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row>
    <row r="194" spans="1:43"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row>
    <row r="195" spans="1:43"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row>
    <row r="196" spans="1:43"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row>
    <row r="197" spans="1:43" ht="12.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row>
    <row r="198" spans="1:43" ht="12.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row>
    <row r="199" spans="1:43" ht="12.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row>
    <row r="200" spans="1:43" ht="12.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row>
    <row r="201" spans="1:43" ht="12.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row>
    <row r="202" spans="1:43"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row>
    <row r="203" spans="1:43"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row>
    <row r="204" spans="1:43" ht="12.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row>
    <row r="205" spans="1:43" ht="12.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row>
    <row r="206" spans="1:43" ht="12.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row>
    <row r="207" spans="1:43" ht="12.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row>
    <row r="208" spans="1:43" ht="12.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row>
    <row r="209" spans="1:43" ht="12.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row>
    <row r="210" spans="1:43" ht="12.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row>
    <row r="211" spans="1:43" ht="12.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row>
    <row r="212" spans="1:43" ht="12.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row>
    <row r="213" spans="1:43" ht="12.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row>
    <row r="214" spans="1:43" ht="12.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row>
    <row r="215" spans="1:43"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row>
    <row r="216" spans="1:43"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row>
    <row r="217" spans="1:43" ht="12.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row>
    <row r="218" spans="1:43" ht="12.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row>
    <row r="219" spans="1:43" ht="12.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row>
    <row r="220" spans="1:43" ht="12.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row>
    <row r="221" spans="1:43" ht="12.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row>
    <row r="222" spans="1:43" ht="12.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row>
    <row r="223" spans="1:43" ht="12.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row>
    <row r="224" spans="1:43" ht="12.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row>
    <row r="225" spans="1:43" ht="12.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row>
    <row r="226" spans="1:43" ht="12.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row>
    <row r="227" spans="1:43" ht="12.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row>
    <row r="228" spans="1:43" ht="12.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row>
    <row r="229" spans="1:43" ht="12.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row>
    <row r="230" spans="1:43" ht="12.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row>
    <row r="231" spans="1:43" ht="12.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row>
    <row r="232" spans="1:43" ht="12.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row>
    <row r="233" spans="1:43" ht="12.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row>
    <row r="234" spans="1:43" ht="12.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row>
    <row r="235" spans="1:43" ht="12.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row>
    <row r="236" spans="1:43" ht="12.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row>
    <row r="237" spans="1:43" ht="12.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row>
    <row r="238" spans="1:43" ht="12.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row>
    <row r="239" spans="1:43" ht="12.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row>
    <row r="240" spans="1:43" ht="12.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row>
    <row r="241" spans="1:43" ht="12.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row>
    <row r="242" spans="1:43" ht="12.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row>
    <row r="243" spans="1:43" ht="12.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row>
    <row r="244" spans="1:43" ht="12.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row>
    <row r="245" spans="1:43" ht="12.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row>
    <row r="246" spans="1:43" ht="12.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row>
    <row r="247" spans="1:43" ht="12.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row>
    <row r="248" spans="1:43" ht="12.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row>
    <row r="249" spans="1:43" ht="12.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row>
    <row r="250" spans="1:43" ht="12.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row>
    <row r="251" spans="1:43" ht="12.7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row>
    <row r="252" spans="1:43" ht="12.7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row>
    <row r="253" spans="1:43" ht="12.7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row>
    <row r="254" spans="1:43" ht="12.7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row>
    <row r="255" spans="1:43" ht="12.7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row>
    <row r="256" spans="1:43" ht="12.7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row>
    <row r="257" spans="1:43" ht="12.7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row>
    <row r="258" spans="1:43" ht="12.7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row>
    <row r="259" spans="1:43" ht="12.7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row>
    <row r="260" spans="1:43" ht="12.7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row>
    <row r="261" spans="1:43" ht="12.7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row>
    <row r="262" spans="1:43" ht="12.7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row>
    <row r="263" spans="1:43" ht="12.7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row>
    <row r="264" spans="1:43" ht="12.7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row>
    <row r="265" spans="1:43" ht="12.7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row>
    <row r="266" spans="1:43" ht="12.7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row>
    <row r="267" spans="1:43" ht="12.7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row>
    <row r="268" spans="1:43" ht="12.7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row>
    <row r="269" spans="1:43" ht="12.7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row>
    <row r="270" spans="1:43" ht="12.7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row>
    <row r="271" spans="1:43" ht="12.7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row>
    <row r="272" spans="1:43" ht="12.7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row>
    <row r="273" spans="1:43" ht="12.7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row>
    <row r="274" spans="1:43" ht="12.7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row>
    <row r="275" spans="1:43" ht="1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row>
    <row r="276" spans="1:43" ht="12.7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row>
    <row r="277" spans="1:43" ht="12.7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row>
    <row r="278" spans="1:43" ht="12.7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row>
    <row r="279" spans="1:43" ht="12.7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row>
    <row r="280" spans="1:43" ht="12.7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row>
    <row r="281" spans="1:43" ht="12.7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row>
    <row r="282" spans="1:43" ht="12.7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row>
    <row r="283" spans="1:43" ht="12.7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row>
    <row r="284" spans="1:43" ht="12.7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row>
    <row r="285" spans="1:43" ht="12.7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row>
    <row r="286" spans="1:43" ht="12.7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row>
    <row r="287" spans="1:43" ht="12.7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row>
    <row r="288" spans="1:43" ht="12.7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row>
    <row r="289" spans="1:43" ht="12.7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row>
    <row r="290" spans="1:43" ht="12.7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row>
    <row r="291" spans="1:43" ht="12.7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row>
    <row r="292" spans="1:43" ht="12.7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row>
    <row r="293" spans="1:43" ht="12.7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row>
    <row r="294" spans="1:43" ht="12.7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row>
    <row r="295" spans="1:43" ht="12.7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row>
    <row r="296" spans="1:43" ht="12.7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row>
    <row r="297" spans="1:43" ht="12.7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row>
    <row r="298" spans="1:43" ht="12.7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row>
    <row r="299" spans="1:43" ht="12.7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row>
    <row r="300" spans="1:43" ht="12.7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row>
    <row r="301" spans="1:43" ht="12.7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row>
    <row r="302" spans="1:43" ht="12.7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row>
    <row r="303" spans="1:43" ht="12.7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row>
    <row r="304" spans="1:43" ht="12.7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row>
    <row r="305" spans="1:43" ht="12.7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row>
    <row r="306" spans="1:43" ht="12.7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row>
    <row r="307" spans="1:43" ht="12.7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row>
    <row r="308" spans="1:43" ht="12.7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row>
    <row r="309" spans="1:43" ht="12.7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row>
    <row r="310" spans="1:43" ht="12.7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row>
    <row r="311" spans="1:43" ht="12.7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row>
    <row r="312" spans="1:43" ht="12.7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row>
    <row r="313" spans="1:43" ht="12.7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row>
    <row r="314" spans="1:43" ht="12.7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row>
    <row r="315" spans="1:43" ht="12.7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row>
    <row r="316" spans="1:43" ht="12.7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row>
    <row r="317" spans="1:43" ht="12.7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row>
    <row r="318" spans="1:43" ht="12.7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row>
    <row r="319" spans="1:43" ht="12.7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row>
    <row r="320" spans="1:43" ht="12.7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row>
    <row r="321" spans="1:43" ht="12.7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row>
    <row r="322" spans="1:43" ht="12.7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row>
    <row r="323" spans="1:43" ht="12.7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row>
    <row r="324" spans="1:43" ht="12.7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row>
    <row r="325" spans="1:43" ht="12.7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row>
    <row r="326" spans="1:43" ht="12.7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row>
    <row r="327" spans="1:43" ht="12.7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row>
    <row r="328" spans="1:43" ht="12.7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row>
    <row r="329" spans="1:43" ht="12.7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row>
    <row r="330" spans="1:43" ht="12.7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row>
    <row r="331" spans="1:43" ht="12.7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row>
    <row r="332" spans="1:43" ht="12.7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row>
    <row r="333" spans="1:43" ht="12.7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row>
    <row r="334" spans="1:43" ht="12.7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row>
    <row r="335" spans="1:43" ht="12.7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row>
    <row r="336" spans="1:43" ht="12.7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row>
    <row r="337" spans="1:43" ht="12.7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row>
    <row r="338" spans="1:43" ht="12.7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row>
    <row r="339" spans="1:43" ht="12.7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row>
    <row r="340" spans="1:43" ht="12.7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row>
    <row r="341" spans="1:43" ht="12.7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row>
    <row r="342" spans="1:43" ht="12.7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row>
    <row r="343" spans="1:43" ht="12.7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row>
    <row r="344" spans="1:43" ht="12.7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row>
    <row r="345" spans="1:43" ht="12.7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row>
    <row r="346" spans="1:43" ht="12.7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row>
    <row r="347" spans="1:43" ht="12.7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row>
    <row r="348" spans="1:43" ht="12.7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row>
    <row r="349" spans="1:43" ht="12.7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row>
    <row r="350" spans="1:43" ht="12.7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row>
    <row r="351" spans="1:43" ht="12.7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row>
    <row r="352" spans="1:43" ht="12.7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row>
    <row r="353" spans="1:43" ht="12.7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row>
    <row r="354" spans="1:43" ht="12.7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row>
    <row r="355" spans="1:43" ht="12.7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row>
    <row r="356" spans="1:43" ht="12.7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row>
    <row r="357" spans="1:43" ht="12.7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row>
    <row r="358" spans="1:43" ht="12.7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row>
    <row r="359" spans="1:43" ht="12.7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row>
    <row r="360" spans="1:43" ht="12.7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row>
    <row r="361" spans="1:43" ht="12.7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row>
    <row r="362" spans="1:43" ht="12.7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row>
    <row r="363" spans="1:43" ht="12.7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row>
    <row r="364" spans="1:43" ht="12.7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row>
    <row r="365" spans="1:43" ht="12.7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row>
    <row r="366" spans="1:43" ht="12.7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row>
    <row r="367" spans="1:43" ht="12.7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row>
    <row r="368" spans="1:43" ht="12.7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row>
    <row r="369" spans="1:43" ht="12.7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row>
    <row r="370" spans="1:43" ht="12.7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row>
    <row r="371" spans="1:43" ht="12.7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row>
    <row r="372" spans="1:43" ht="12.7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row>
    <row r="373" spans="1:43" ht="12.7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row>
    <row r="374" spans="1:43" ht="12.7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row>
    <row r="375" spans="1:43" ht="12.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row>
    <row r="376" spans="1:43" ht="12.7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row>
    <row r="377" spans="1:43" ht="12.7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row>
    <row r="378" spans="1:43" ht="12.7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row>
    <row r="379" spans="1:43" ht="12.7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row>
    <row r="380" spans="1:43" ht="12.7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row>
    <row r="381" spans="1:43" ht="12.7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row>
    <row r="382" spans="1:43" ht="12.7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row>
    <row r="383" spans="1:43" ht="12.7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row>
    <row r="384" spans="1:43" ht="12.7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row>
    <row r="385" spans="1:43" ht="12.7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row>
    <row r="386" spans="1:43" ht="12.7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row>
    <row r="387" spans="1:43" ht="12.7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row>
    <row r="388" spans="1:43" ht="12.7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row>
    <row r="389" spans="1:43" ht="12.7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row>
    <row r="390" spans="1:43" ht="12.7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row>
    <row r="391" spans="1:43" ht="12.7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row>
    <row r="392" spans="1:43" ht="12.7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row>
    <row r="393" spans="1:43" ht="12.7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row>
    <row r="394" spans="1:43" ht="12.7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row>
    <row r="395" spans="1:43" ht="12.7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row>
    <row r="396" spans="1:43" ht="12.7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row>
    <row r="397" spans="1:43" ht="12.7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row>
    <row r="398" spans="1:43" ht="12.7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row>
    <row r="399" spans="1:43" ht="12.7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row>
    <row r="400" spans="1:43" ht="12.7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row>
    <row r="401" spans="1:43" ht="12.7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row>
    <row r="402" spans="1:43" ht="12.7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row>
    <row r="403" spans="1:43" ht="12.7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row>
    <row r="404" spans="1:43" ht="12.7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row>
    <row r="405" spans="1:43" ht="12.7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row>
    <row r="406" spans="1:43" ht="12.7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row>
    <row r="407" spans="1:43" ht="12.7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row>
    <row r="408" spans="1:43" ht="12.7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row>
    <row r="409" spans="1:43" ht="12.7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row>
    <row r="410" spans="1:43" ht="12.7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row>
    <row r="411" spans="1:43" ht="12.7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row>
    <row r="412" spans="1:43" ht="12.7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row>
    <row r="413" spans="1:43" ht="12.7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row>
    <row r="414" spans="1:43" ht="12.7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row>
    <row r="415" spans="1:43" ht="12.7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row>
    <row r="416" spans="1:43" ht="12.7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row>
    <row r="417" spans="1:43" ht="12.7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row>
    <row r="418" spans="1:43" ht="12.7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row>
    <row r="419" spans="1:43" ht="12.7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row>
    <row r="420" spans="1:43" ht="12.7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row>
    <row r="421" spans="1:43" ht="12.7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row>
    <row r="422" spans="1:43" ht="12.7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row>
    <row r="423" spans="1:43" ht="12.7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row>
    <row r="424" spans="1:43" ht="12.7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row>
    <row r="425" spans="1:43" ht="12.7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row>
    <row r="426" spans="1:43" ht="12.7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row>
    <row r="427" spans="1:43" ht="12.7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row>
    <row r="428" spans="1:43" ht="12.7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row>
    <row r="429" spans="1:43" ht="12.7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row>
    <row r="430" spans="1:43" ht="12.7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row>
    <row r="431" spans="1:43" ht="12.7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row>
    <row r="432" spans="1:43" ht="12.7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row>
    <row r="433" spans="1:43" ht="12.7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row>
    <row r="434" spans="1:43" ht="12.7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row>
    <row r="435" spans="1:43" ht="12.7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row>
    <row r="436" spans="1:43" ht="12.7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row>
    <row r="437" spans="1:43" ht="12.7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row>
    <row r="438" spans="1:43" ht="12.7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row>
    <row r="439" spans="1:43" ht="12.7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row>
    <row r="440" spans="1:43" ht="12.7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row>
    <row r="441" spans="1:43" ht="12.7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row>
    <row r="442" spans="1:43" ht="12.7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row>
    <row r="443" spans="1:43" ht="12.7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row>
    <row r="444" spans="1:43" ht="12.7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row>
    <row r="445" spans="1:43" ht="12.7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row>
    <row r="446" spans="1:43" ht="12.7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row>
    <row r="447" spans="1:43" ht="12.7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row>
    <row r="448" spans="1:43" ht="12.7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row>
    <row r="449" spans="1:43" ht="12.7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row>
    <row r="450" spans="1:43" ht="12.7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row>
    <row r="451" spans="1:43" ht="12.7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row>
    <row r="452" spans="1:43" ht="12.7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row>
    <row r="453" spans="1:43" ht="12.7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row>
    <row r="454" spans="1:43" ht="12.7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row>
    <row r="455" spans="1:43" ht="12.7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row>
    <row r="456" spans="1:43" ht="12.7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row>
    <row r="457" spans="1:43" ht="12.7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row>
    <row r="458" spans="1:43" ht="12.7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row>
    <row r="459" spans="1:43" ht="12.7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row>
    <row r="460" spans="1:43" ht="12.7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row>
    <row r="461" spans="1:43" ht="12.7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row>
    <row r="462" spans="1:43" ht="12.7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row>
    <row r="463" spans="1:43" ht="12.7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row>
    <row r="464" spans="1:43" ht="12.7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row>
    <row r="465" spans="1:43" ht="12.7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row>
    <row r="466" spans="1:43" ht="12.7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row>
    <row r="467" spans="1:43" ht="12.7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row>
    <row r="468" spans="1:43" ht="12.7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row>
    <row r="469" spans="1:43" ht="12.7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row>
    <row r="470" spans="1:43" ht="12.7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row>
    <row r="471" spans="1:43" ht="12.7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row>
    <row r="472" spans="1:43" ht="12.7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row>
    <row r="473" spans="1:43" ht="12.7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row>
    <row r="474" spans="1:43" ht="12.7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row>
    <row r="475" spans="1:43" ht="12.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row>
    <row r="476" spans="1:43" ht="12.7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row>
    <row r="477" spans="1:43" ht="12.7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row>
    <row r="478" spans="1:43" ht="12.7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row>
    <row r="479" spans="1:43" ht="12.7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row>
    <row r="480" spans="1:43" ht="12.7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row>
    <row r="481" spans="1:43" ht="12.7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row>
    <row r="482" spans="1:43" ht="12.7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row>
    <row r="483" spans="1:43" ht="12.7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row>
    <row r="484" spans="1:43" ht="12.7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row>
    <row r="485" spans="1:43" ht="12.7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row>
    <row r="486" spans="1:43" ht="12.7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row>
    <row r="487" spans="1:43" ht="12.7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row>
    <row r="488" spans="1:43" ht="12.7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row>
    <row r="489" spans="1:43" ht="12.7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row>
    <row r="490" spans="1:43" ht="12.7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row>
    <row r="491" spans="1:43" ht="12.7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row>
    <row r="492" spans="1:43" ht="12.7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row>
    <row r="493" spans="1:43" ht="12.7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row>
    <row r="494" spans="1:43" ht="12.7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row>
    <row r="495" spans="1:43" ht="12.7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row>
    <row r="496" spans="1:43" ht="12.7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row>
  </sheetData>
  <sheetProtection password="E1D3" sheet="1" objects="1" scenarios="1" formatColumns="0" formatRows="0" selectLockedCells="1"/>
  <mergeCells count="26">
    <mergeCell ref="A6:H6"/>
    <mergeCell ref="A8:N8"/>
    <mergeCell ref="A14:N14"/>
    <mergeCell ref="A15:N15"/>
    <mergeCell ref="A10:N10"/>
    <mergeCell ref="A12:N12"/>
    <mergeCell ref="A13:N13"/>
    <mergeCell ref="A7:N7"/>
    <mergeCell ref="A9:N9"/>
    <mergeCell ref="A57:N57"/>
    <mergeCell ref="B17:N17"/>
    <mergeCell ref="B18:N18"/>
    <mergeCell ref="B19:N19"/>
    <mergeCell ref="B20:N20"/>
    <mergeCell ref="B21:N21"/>
    <mergeCell ref="B23:N23"/>
    <mergeCell ref="B25:N25"/>
    <mergeCell ref="B26:N26"/>
    <mergeCell ref="B28:N28"/>
    <mergeCell ref="A40:N40"/>
    <mergeCell ref="B38:N38"/>
    <mergeCell ref="B36:N36"/>
    <mergeCell ref="B29:N29"/>
    <mergeCell ref="B31:N31"/>
    <mergeCell ref="B32:N32"/>
    <mergeCell ref="B34:N34"/>
  </mergeCells>
  <hyperlinks>
    <hyperlink ref="K4" r:id="rId1" display="boers010@umn.edu"/>
  </hyperlinks>
  <printOptions/>
  <pageMargins left="0.5" right="0.5" top="0.75" bottom="0.75" header="0.5" footer="0.5"/>
  <pageSetup horizontalDpi="600" verticalDpi="600" orientation="landscape"/>
  <rowBreaks count="1" manualBreakCount="1">
    <brk id="10" max="13" man="1"/>
  </rowBreaks>
  <drawing r:id="rId2"/>
</worksheet>
</file>

<file path=xl/worksheets/sheet2.xml><?xml version="1.0" encoding="utf-8"?>
<worksheet xmlns="http://schemas.openxmlformats.org/spreadsheetml/2006/main" xmlns:r="http://schemas.openxmlformats.org/officeDocument/2006/relationships">
  <sheetPr>
    <tabColor indexed="16"/>
  </sheetPr>
  <dimension ref="A1:AQ300"/>
  <sheetViews>
    <sheetView showRowColHeaders="0" zoomScalePageLayoutView="0" workbookViewId="0" topLeftCell="A1">
      <selection activeCell="C17" sqref="C17"/>
    </sheetView>
  </sheetViews>
  <sheetFormatPr defaultColWidth="8.8515625" defaultRowHeight="12.75"/>
  <cols>
    <col min="1" max="1" width="35.8515625" style="38" customWidth="1"/>
    <col min="2" max="3" width="6.421875" style="38" customWidth="1"/>
    <col min="4" max="21" width="4.7109375" style="38" customWidth="1"/>
    <col min="22" max="22" width="5.28125" style="0" customWidth="1"/>
    <col min="23" max="24" width="8.8515625" style="0" customWidth="1"/>
    <col min="25" max="25" width="9.28125" style="0" customWidth="1"/>
    <col min="26" max="26" width="8.8515625" style="0" customWidth="1"/>
    <col min="27" max="28" width="9.28125" style="0" bestFit="1" customWidth="1"/>
    <col min="29" max="29" width="10.421875" style="0" bestFit="1" customWidth="1"/>
  </cols>
  <sheetData>
    <row r="1" spans="1:43" s="39" customFormat="1" ht="18" customHeight="1">
      <c r="A1" s="146"/>
      <c r="B1" s="146"/>
      <c r="C1" s="146"/>
      <c r="D1" s="146"/>
      <c r="E1" s="146"/>
      <c r="F1" s="146"/>
      <c r="G1" s="146"/>
      <c r="H1" s="146"/>
      <c r="I1" s="146"/>
      <c r="J1" s="146"/>
      <c r="K1" s="146"/>
      <c r="L1" s="147" t="s">
        <v>290</v>
      </c>
      <c r="M1" s="148"/>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row>
    <row r="2" spans="1:43" s="39" customFormat="1" ht="18" customHeight="1">
      <c r="A2" s="146"/>
      <c r="B2" s="146"/>
      <c r="C2" s="146"/>
      <c r="D2" s="146"/>
      <c r="E2" s="146"/>
      <c r="F2" s="146"/>
      <c r="G2" s="146"/>
      <c r="H2" s="146"/>
      <c r="I2" s="146"/>
      <c r="J2" s="146"/>
      <c r="K2" s="146"/>
      <c r="L2" s="149" t="s">
        <v>291</v>
      </c>
      <c r="M2" s="150"/>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row>
    <row r="3" spans="1:43" s="39" customFormat="1" ht="18" customHeight="1">
      <c r="A3" s="146"/>
      <c r="B3" s="146"/>
      <c r="C3" s="146"/>
      <c r="D3" s="146"/>
      <c r="E3" s="146"/>
      <c r="F3" s="146"/>
      <c r="G3" s="146"/>
      <c r="H3" s="146"/>
      <c r="I3" s="146"/>
      <c r="J3" s="146"/>
      <c r="K3" s="146"/>
      <c r="L3" s="149" t="s">
        <v>292</v>
      </c>
      <c r="M3" s="150"/>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row>
    <row r="4" spans="1:43" s="39" customFormat="1" ht="18" customHeight="1">
      <c r="A4" s="146"/>
      <c r="B4" s="146"/>
      <c r="C4" s="146"/>
      <c r="D4" s="146"/>
      <c r="E4" s="146"/>
      <c r="F4" s="146"/>
      <c r="G4" s="146"/>
      <c r="H4" s="146"/>
      <c r="I4" s="146"/>
      <c r="J4" s="146"/>
      <c r="K4" s="146"/>
      <c r="L4" s="8" t="s">
        <v>293</v>
      </c>
      <c r="M4" s="34"/>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row>
    <row r="5" spans="1:43" s="40" customFormat="1" ht="3.75" customHeight="1">
      <c r="A5" s="148"/>
      <c r="B5" s="148"/>
      <c r="C5" s="150"/>
      <c r="D5" s="150"/>
      <c r="E5" s="150"/>
      <c r="F5" s="150"/>
      <c r="G5" s="150"/>
      <c r="H5" s="150"/>
      <c r="I5" s="150"/>
      <c r="J5" s="150"/>
      <c r="K5" s="150"/>
      <c r="L5" s="150"/>
      <c r="M5" s="150"/>
      <c r="N5" s="150"/>
      <c r="O5" s="150"/>
      <c r="P5" s="150"/>
      <c r="Q5" s="150"/>
      <c r="R5" s="150"/>
      <c r="S5" s="150"/>
      <c r="T5" s="150"/>
      <c r="U5" s="150"/>
      <c r="V5" s="146"/>
      <c r="W5" s="146"/>
      <c r="X5" s="146"/>
      <c r="Y5" s="146"/>
      <c r="Z5" s="146"/>
      <c r="AA5" s="146"/>
      <c r="AB5" s="146"/>
      <c r="AC5" s="146"/>
      <c r="AD5" s="146"/>
      <c r="AE5" s="146"/>
      <c r="AF5" s="146"/>
      <c r="AG5" s="146"/>
      <c r="AH5" s="146"/>
      <c r="AI5" s="146"/>
      <c r="AJ5" s="146"/>
      <c r="AK5" s="146"/>
      <c r="AL5" s="146"/>
      <c r="AM5" s="146"/>
      <c r="AN5" s="146"/>
      <c r="AO5" s="146"/>
      <c r="AP5" s="146"/>
      <c r="AQ5" s="146"/>
    </row>
    <row r="6" spans="1:43" s="40" customFormat="1" ht="17.25" customHeight="1">
      <c r="A6" s="151" t="s">
        <v>310</v>
      </c>
      <c r="B6" s="330">
        <v>1400</v>
      </c>
      <c r="C6" s="330"/>
      <c r="D6" s="330"/>
      <c r="E6" s="331"/>
      <c r="F6" s="331"/>
      <c r="G6" s="150"/>
      <c r="H6" s="360" t="s">
        <v>309</v>
      </c>
      <c r="I6" s="361"/>
      <c r="J6" s="361"/>
      <c r="K6" s="361"/>
      <c r="L6" s="361"/>
      <c r="M6" s="361"/>
      <c r="N6" s="361"/>
      <c r="O6" s="362"/>
      <c r="P6" s="330">
        <v>20</v>
      </c>
      <c r="Q6" s="330"/>
      <c r="R6" s="330"/>
      <c r="S6" s="330"/>
      <c r="T6" s="330"/>
      <c r="U6" s="363"/>
      <c r="V6" s="146"/>
      <c r="W6" s="146"/>
      <c r="X6" s="146"/>
      <c r="Y6" s="146"/>
      <c r="Z6" s="146"/>
      <c r="AA6" s="146"/>
      <c r="AB6" s="146"/>
      <c r="AC6" s="146"/>
      <c r="AD6" s="146"/>
      <c r="AE6" s="146"/>
      <c r="AF6" s="146"/>
      <c r="AG6" s="146"/>
      <c r="AH6" s="146"/>
      <c r="AI6" s="146"/>
      <c r="AJ6" s="146"/>
      <c r="AK6" s="146"/>
      <c r="AL6" s="146"/>
      <c r="AM6" s="146"/>
      <c r="AN6" s="146"/>
      <c r="AO6" s="146"/>
      <c r="AP6" s="146"/>
      <c r="AQ6" s="152"/>
    </row>
    <row r="7" spans="1:43" s="40" customFormat="1" ht="17.25" customHeight="1">
      <c r="A7" s="151" t="s">
        <v>194</v>
      </c>
      <c r="B7" s="330" t="s">
        <v>196</v>
      </c>
      <c r="C7" s="330"/>
      <c r="D7" s="330"/>
      <c r="E7" s="331"/>
      <c r="F7" s="331"/>
      <c r="G7" s="150"/>
      <c r="H7" s="360" t="s">
        <v>232</v>
      </c>
      <c r="I7" s="361"/>
      <c r="J7" s="361"/>
      <c r="K7" s="361"/>
      <c r="L7" s="361"/>
      <c r="M7" s="361"/>
      <c r="N7" s="361"/>
      <c r="O7" s="362"/>
      <c r="P7" s="330">
        <v>150</v>
      </c>
      <c r="Q7" s="330"/>
      <c r="R7" s="330"/>
      <c r="S7" s="330"/>
      <c r="T7" s="330"/>
      <c r="U7" s="363"/>
      <c r="V7" s="146"/>
      <c r="W7" s="146"/>
      <c r="X7" s="146"/>
      <c r="Y7" s="146"/>
      <c r="Z7" s="146"/>
      <c r="AA7" s="146"/>
      <c r="AB7" s="146"/>
      <c r="AC7" s="146"/>
      <c r="AD7" s="146"/>
      <c r="AE7" s="146"/>
      <c r="AF7" s="146"/>
      <c r="AG7" s="146"/>
      <c r="AH7" s="146"/>
      <c r="AI7" s="146"/>
      <c r="AJ7" s="146"/>
      <c r="AK7" s="146"/>
      <c r="AL7" s="146"/>
      <c r="AM7" s="146"/>
      <c r="AN7" s="146"/>
      <c r="AO7" s="146"/>
      <c r="AP7" s="146"/>
      <c r="AQ7" s="152"/>
    </row>
    <row r="8" spans="1:43" s="40" customFormat="1" ht="17.25" customHeight="1">
      <c r="A8" s="151" t="s">
        <v>244</v>
      </c>
      <c r="B8" s="330" t="s">
        <v>250</v>
      </c>
      <c r="C8" s="330"/>
      <c r="D8" s="330"/>
      <c r="E8" s="331"/>
      <c r="F8" s="331"/>
      <c r="G8" s="150"/>
      <c r="H8" s="360" t="s">
        <v>198</v>
      </c>
      <c r="I8" s="361"/>
      <c r="J8" s="361"/>
      <c r="K8" s="361"/>
      <c r="L8" s="361"/>
      <c r="M8" s="361"/>
      <c r="N8" s="361"/>
      <c r="O8" s="362"/>
      <c r="P8" s="330"/>
      <c r="Q8" s="330"/>
      <c r="R8" s="330"/>
      <c r="S8" s="330"/>
      <c r="T8" s="330"/>
      <c r="U8" s="363"/>
      <c r="V8" s="146"/>
      <c r="W8" s="146"/>
      <c r="X8" s="146"/>
      <c r="Y8" s="146"/>
      <c r="Z8" s="146"/>
      <c r="AA8" s="146"/>
      <c r="AB8" s="146"/>
      <c r="AC8" s="146"/>
      <c r="AD8" s="146"/>
      <c r="AE8" s="146"/>
      <c r="AF8" s="146"/>
      <c r="AG8" s="146"/>
      <c r="AH8" s="146"/>
      <c r="AI8" s="146"/>
      <c r="AJ8" s="146"/>
      <c r="AK8" s="146"/>
      <c r="AL8" s="146"/>
      <c r="AM8" s="146"/>
      <c r="AN8" s="146"/>
      <c r="AO8" s="146"/>
      <c r="AP8" s="146"/>
      <c r="AQ8" s="152"/>
    </row>
    <row r="9" spans="1:43" s="40" customFormat="1" ht="17.25" customHeight="1">
      <c r="A9" s="151" t="s">
        <v>311</v>
      </c>
      <c r="B9" s="330">
        <v>3.5</v>
      </c>
      <c r="C9" s="330"/>
      <c r="D9" s="330"/>
      <c r="E9" s="331"/>
      <c r="F9" s="331"/>
      <c r="G9" s="150"/>
      <c r="H9" s="360" t="s">
        <v>312</v>
      </c>
      <c r="I9" s="361"/>
      <c r="J9" s="361"/>
      <c r="K9" s="361"/>
      <c r="L9" s="361"/>
      <c r="M9" s="361"/>
      <c r="N9" s="361"/>
      <c r="O9" s="362"/>
      <c r="P9" s="330" t="s">
        <v>223</v>
      </c>
      <c r="Q9" s="330"/>
      <c r="R9" s="330"/>
      <c r="S9" s="330"/>
      <c r="T9" s="330"/>
      <c r="U9" s="363"/>
      <c r="V9" s="146"/>
      <c r="W9" s="146"/>
      <c r="X9" s="146"/>
      <c r="Y9" s="146"/>
      <c r="Z9" s="146"/>
      <c r="AA9" s="146"/>
      <c r="AB9" s="146"/>
      <c r="AC9" s="146"/>
      <c r="AD9" s="146"/>
      <c r="AE9" s="146"/>
      <c r="AF9" s="146"/>
      <c r="AG9" s="146"/>
      <c r="AH9" s="146"/>
      <c r="AI9" s="146"/>
      <c r="AJ9" s="146"/>
      <c r="AK9" s="146"/>
      <c r="AL9" s="146"/>
      <c r="AM9" s="146"/>
      <c r="AN9" s="146"/>
      <c r="AO9" s="146"/>
      <c r="AP9" s="146"/>
      <c r="AQ9" s="152"/>
    </row>
    <row r="10" spans="1:43" s="40" customFormat="1" ht="17.25" customHeight="1">
      <c r="A10" s="151" t="s">
        <v>170</v>
      </c>
      <c r="B10" s="330">
        <v>3.5</v>
      </c>
      <c r="C10" s="330"/>
      <c r="D10" s="330"/>
      <c r="E10" s="331"/>
      <c r="F10" s="331"/>
      <c r="G10" s="150"/>
      <c r="H10" s="360" t="s">
        <v>313</v>
      </c>
      <c r="I10" s="361"/>
      <c r="J10" s="361"/>
      <c r="K10" s="361"/>
      <c r="L10" s="361"/>
      <c r="M10" s="361"/>
      <c r="N10" s="361"/>
      <c r="O10" s="362"/>
      <c r="P10" s="330" t="s">
        <v>422</v>
      </c>
      <c r="Q10" s="330"/>
      <c r="R10" s="330"/>
      <c r="S10" s="330"/>
      <c r="T10" s="330"/>
      <c r="U10" s="363"/>
      <c r="V10" s="146"/>
      <c r="W10" s="146"/>
      <c r="X10" s="146"/>
      <c r="Y10" s="146"/>
      <c r="Z10" s="146"/>
      <c r="AA10" s="146"/>
      <c r="AB10" s="146"/>
      <c r="AC10" s="146"/>
      <c r="AD10" s="146"/>
      <c r="AE10" s="146"/>
      <c r="AF10" s="146"/>
      <c r="AG10" s="146"/>
      <c r="AH10" s="146"/>
      <c r="AI10" s="146"/>
      <c r="AJ10" s="146"/>
      <c r="AK10" s="146"/>
      <c r="AL10" s="146"/>
      <c r="AM10" s="146"/>
      <c r="AN10" s="146"/>
      <c r="AO10" s="146"/>
      <c r="AP10" s="146"/>
      <c r="AQ10" s="152"/>
    </row>
    <row r="11" spans="1:43" s="40" customFormat="1" ht="17.25" customHeight="1">
      <c r="A11" s="153"/>
      <c r="B11" s="337"/>
      <c r="C11" s="337"/>
      <c r="D11" s="337"/>
      <c r="E11" s="338"/>
      <c r="F11" s="338"/>
      <c r="G11" s="150"/>
      <c r="H11" s="339" t="s">
        <v>314</v>
      </c>
      <c r="I11" s="339"/>
      <c r="J11" s="339"/>
      <c r="K11" s="339"/>
      <c r="L11" s="339"/>
      <c r="M11" s="339"/>
      <c r="N11" s="339"/>
      <c r="O11" s="339"/>
      <c r="P11" s="330" t="s">
        <v>217</v>
      </c>
      <c r="Q11" s="330"/>
      <c r="R11" s="330"/>
      <c r="S11" s="330"/>
      <c r="T11" s="330"/>
      <c r="U11" s="363"/>
      <c r="V11" s="146"/>
      <c r="W11" s="146"/>
      <c r="X11" s="146"/>
      <c r="Y11" s="146"/>
      <c r="Z11" s="146"/>
      <c r="AA11" s="146"/>
      <c r="AB11" s="146"/>
      <c r="AC11" s="146"/>
      <c r="AD11" s="146"/>
      <c r="AE11" s="146"/>
      <c r="AF11" s="146"/>
      <c r="AG11" s="146"/>
      <c r="AH11" s="146"/>
      <c r="AI11" s="146"/>
      <c r="AJ11" s="146"/>
      <c r="AK11" s="146"/>
      <c r="AL11" s="146"/>
      <c r="AM11" s="146"/>
      <c r="AN11" s="146"/>
      <c r="AO11" s="146"/>
      <c r="AP11" s="146"/>
      <c r="AQ11" s="152"/>
    </row>
    <row r="12" spans="1:43" s="40" customFormat="1" ht="9.75" customHeight="1" thickBot="1">
      <c r="A12" s="150"/>
      <c r="B12" s="150"/>
      <c r="C12" s="150"/>
      <c r="D12" s="150"/>
      <c r="E12" s="150"/>
      <c r="F12" s="150"/>
      <c r="G12" s="150"/>
      <c r="H12" s="150"/>
      <c r="I12" s="154"/>
      <c r="J12" s="364"/>
      <c r="K12" s="364"/>
      <c r="L12" s="364"/>
      <c r="M12" s="150"/>
      <c r="N12" s="150"/>
      <c r="O12" s="150"/>
      <c r="P12" s="150"/>
      <c r="Q12" s="150"/>
      <c r="R12" s="150"/>
      <c r="S12" s="150"/>
      <c r="T12" s="150"/>
      <c r="U12" s="150"/>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row>
    <row r="13" spans="1:43" s="40" customFormat="1" ht="15" customHeight="1" thickBot="1">
      <c r="A13" s="155"/>
      <c r="B13" s="156"/>
      <c r="C13" s="334" t="s">
        <v>413</v>
      </c>
      <c r="D13" s="334"/>
      <c r="E13" s="335"/>
      <c r="F13" s="158"/>
      <c r="G13" s="336" t="s">
        <v>531</v>
      </c>
      <c r="H13" s="334"/>
      <c r="I13" s="335"/>
      <c r="J13" s="336" t="s">
        <v>532</v>
      </c>
      <c r="K13" s="335"/>
      <c r="L13" s="336" t="s">
        <v>522</v>
      </c>
      <c r="M13" s="334"/>
      <c r="N13" s="334"/>
      <c r="O13" s="335"/>
      <c r="P13" s="159"/>
      <c r="Q13" s="336" t="s">
        <v>477</v>
      </c>
      <c r="R13" s="334"/>
      <c r="S13" s="334"/>
      <c r="T13" s="334"/>
      <c r="U13" s="373"/>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row>
    <row r="14" spans="1:43" s="40" customFormat="1" ht="15" customHeight="1">
      <c r="A14" s="155"/>
      <c r="B14" s="156" t="s">
        <v>524</v>
      </c>
      <c r="C14" s="334" t="s">
        <v>413</v>
      </c>
      <c r="D14" s="334"/>
      <c r="E14" s="157" t="s">
        <v>509</v>
      </c>
      <c r="F14" s="160" t="s">
        <v>510</v>
      </c>
      <c r="G14" s="128" t="s">
        <v>408</v>
      </c>
      <c r="H14" s="128" t="s">
        <v>409</v>
      </c>
      <c r="I14" s="128" t="s">
        <v>410</v>
      </c>
      <c r="J14" s="158" t="s">
        <v>511</v>
      </c>
      <c r="K14" s="157" t="s">
        <v>534</v>
      </c>
      <c r="L14" s="128" t="s">
        <v>535</v>
      </c>
      <c r="M14" s="128" t="s">
        <v>536</v>
      </c>
      <c r="N14" s="128" t="s">
        <v>537</v>
      </c>
      <c r="O14" s="128" t="s">
        <v>538</v>
      </c>
      <c r="P14" s="160" t="s">
        <v>521</v>
      </c>
      <c r="Q14" s="128" t="s">
        <v>540</v>
      </c>
      <c r="R14" s="128" t="s">
        <v>518</v>
      </c>
      <c r="S14" s="128" t="s">
        <v>513</v>
      </c>
      <c r="T14" s="128" t="s">
        <v>541</v>
      </c>
      <c r="U14" s="132" t="s">
        <v>520</v>
      </c>
      <c r="V14" s="150"/>
      <c r="W14" s="45"/>
      <c r="X14" s="45"/>
      <c r="Y14" s="45"/>
      <c r="Z14" s="45"/>
      <c r="AA14" s="45"/>
      <c r="AB14" s="146"/>
      <c r="AC14" s="146"/>
      <c r="AD14" s="146"/>
      <c r="AE14" s="146"/>
      <c r="AF14" s="146"/>
      <c r="AG14" s="146"/>
      <c r="AH14" s="146"/>
      <c r="AI14" s="146"/>
      <c r="AJ14" s="146"/>
      <c r="AK14" s="146"/>
      <c r="AL14" s="146"/>
      <c r="AM14" s="146"/>
      <c r="AN14" s="146"/>
      <c r="AO14" s="146"/>
      <c r="AP14" s="146"/>
      <c r="AQ14" s="146"/>
    </row>
    <row r="15" spans="1:43" s="40" customFormat="1" ht="15" customHeight="1" thickBot="1">
      <c r="A15" s="161" t="s">
        <v>478</v>
      </c>
      <c r="B15" s="162" t="s">
        <v>315</v>
      </c>
      <c r="C15" s="163" t="s">
        <v>414</v>
      </c>
      <c r="D15" s="163" t="s">
        <v>509</v>
      </c>
      <c r="E15" s="164" t="s">
        <v>519</v>
      </c>
      <c r="F15" s="165" t="s">
        <v>519</v>
      </c>
      <c r="G15" s="329" t="s">
        <v>544</v>
      </c>
      <c r="H15" s="329"/>
      <c r="I15" s="329"/>
      <c r="J15" s="166" t="s">
        <v>519</v>
      </c>
      <c r="K15" s="164" t="s">
        <v>519</v>
      </c>
      <c r="L15" s="129" t="s">
        <v>519</v>
      </c>
      <c r="M15" s="129" t="s">
        <v>519</v>
      </c>
      <c r="N15" s="129" t="s">
        <v>519</v>
      </c>
      <c r="O15" s="129" t="s">
        <v>519</v>
      </c>
      <c r="P15" s="165" t="s">
        <v>519</v>
      </c>
      <c r="Q15" s="129" t="s">
        <v>519</v>
      </c>
      <c r="R15" s="129" t="s">
        <v>519</v>
      </c>
      <c r="S15" s="129" t="s">
        <v>519</v>
      </c>
      <c r="T15" s="129" t="s">
        <v>519</v>
      </c>
      <c r="U15" s="133" t="s">
        <v>519</v>
      </c>
      <c r="V15" s="150"/>
      <c r="W15" s="45"/>
      <c r="X15" s="45"/>
      <c r="Y15" s="45"/>
      <c r="Z15" s="45"/>
      <c r="AA15" s="45"/>
      <c r="AB15" s="146"/>
      <c r="AC15" s="146"/>
      <c r="AD15" s="146"/>
      <c r="AE15" s="146"/>
      <c r="AF15" s="146"/>
      <c r="AG15" s="146"/>
      <c r="AH15" s="146"/>
      <c r="AI15" s="146"/>
      <c r="AJ15" s="146"/>
      <c r="AK15" s="146"/>
      <c r="AL15" s="146"/>
      <c r="AM15" s="146"/>
      <c r="AN15" s="146"/>
      <c r="AO15" s="146"/>
      <c r="AP15" s="146"/>
      <c r="AQ15" s="146"/>
    </row>
    <row r="16" spans="1:43" s="40" customFormat="1" ht="17.25" customHeight="1">
      <c r="A16" s="317" t="s">
        <v>94</v>
      </c>
      <c r="B16" s="318">
        <v>175</v>
      </c>
      <c r="C16" s="120">
        <v>25</v>
      </c>
      <c r="D16" s="167">
        <f aca="true" t="shared" si="0" ref="D16:D25">C16*E16/100</f>
        <v>22</v>
      </c>
      <c r="E16" s="167">
        <f>VLOOKUP($A16,Feedstuffs!$A$11:$T$302,2)</f>
        <v>88</v>
      </c>
      <c r="F16" s="168">
        <f>VLOOKUP($A16,Feedstuffs!$A$11:$T$302,3)</f>
        <v>50</v>
      </c>
      <c r="G16" s="167">
        <f>VLOOKUP($A16,Feedstuffs!$A$11:$U$302,4)</f>
        <v>50</v>
      </c>
      <c r="H16" s="167">
        <f>VLOOKUP($A16,Feedstuffs!$A$11:$U$302,5)</f>
        <v>12</v>
      </c>
      <c r="I16" s="167">
        <f>VLOOKUP($A16,Feedstuffs!$A$11:$U$302,6)</f>
        <v>49</v>
      </c>
      <c r="J16" s="169">
        <f>VLOOKUP($A16,Feedstuffs!$A$11:$U$302,7)</f>
        <v>13</v>
      </c>
      <c r="K16" s="170">
        <f>VLOOKUP($A16,Feedstuffs!$A$11:$U$302,8)</f>
        <v>30</v>
      </c>
      <c r="L16" s="167">
        <f>VLOOKUP($A16,Feedstuffs!$A$11:$U$302,9)</f>
        <v>38</v>
      </c>
      <c r="M16" s="167">
        <f>VLOOKUP($A16,Feedstuffs!$A$11:$U$302,10)</f>
        <v>45</v>
      </c>
      <c r="N16" s="167">
        <f>VLOOKUP($A16,Feedstuffs!$A$11:$U$302,11)</f>
        <v>59</v>
      </c>
      <c r="O16" s="167">
        <f>VLOOKUP($A16,Feedstuffs!$A$11:$U$302,12)</f>
        <v>92</v>
      </c>
      <c r="P16" s="168">
        <f>VLOOKUP($A16,Feedstuffs!$A$11:$U$302,13)</f>
        <v>1.3</v>
      </c>
      <c r="Q16" s="167">
        <f>VLOOKUP($A16,Feedstuffs!$A$11:$U$302,14)</f>
        <v>8</v>
      </c>
      <c r="R16" s="167">
        <f>VLOOKUP($A16,Feedstuffs!$A$11:$U$302,15)</f>
        <v>1.18</v>
      </c>
      <c r="S16" s="167">
        <f>VLOOKUP($A16,Feedstuffs!$A$11:$U$302,16)</f>
        <v>0.19</v>
      </c>
      <c r="T16" s="167">
        <f>VLOOKUP($A16,Feedstuffs!$A$11:$U$302,17)</f>
        <v>1.5</v>
      </c>
      <c r="U16" s="171">
        <f>VLOOKUP($A16,Feedstuffs!$A$11:$U$302,19)</f>
        <v>0.21</v>
      </c>
      <c r="V16" s="150"/>
      <c r="W16" s="45"/>
      <c r="X16" s="45"/>
      <c r="Y16" s="45"/>
      <c r="Z16" s="45"/>
      <c r="AA16" s="45"/>
      <c r="AB16" s="146"/>
      <c r="AC16" s="146"/>
      <c r="AD16" s="146"/>
      <c r="AE16" s="146"/>
      <c r="AF16" s="146"/>
      <c r="AG16" s="146"/>
      <c r="AH16" s="146"/>
      <c r="AI16" s="146"/>
      <c r="AJ16" s="146"/>
      <c r="AK16" s="146"/>
      <c r="AL16" s="146"/>
      <c r="AM16" s="146"/>
      <c r="AN16" s="146"/>
      <c r="AO16" s="146"/>
      <c r="AP16" s="146"/>
      <c r="AQ16" s="146"/>
    </row>
    <row r="17" spans="1:43" s="40" customFormat="1" ht="17.25" customHeight="1">
      <c r="A17" s="319" t="s">
        <v>351</v>
      </c>
      <c r="B17" s="320">
        <v>50</v>
      </c>
      <c r="C17" s="118">
        <v>10</v>
      </c>
      <c r="D17" s="172">
        <f t="shared" si="0"/>
        <v>8</v>
      </c>
      <c r="E17" s="172">
        <f>VLOOKUP($A17,Feedstuffs!$A$11:$T$302,2)</f>
        <v>80</v>
      </c>
      <c r="F17" s="173">
        <f>VLOOKUP($A17,Feedstuffs!$A$11:$T$302,3)</f>
        <v>56</v>
      </c>
      <c r="G17" s="172">
        <f>VLOOKUP($A17,Feedstuffs!$A$11:$U$302,4)</f>
        <v>56</v>
      </c>
      <c r="H17" s="172">
        <f>VLOOKUP($A17,Feedstuffs!$A$11:$U$302,5)</f>
        <v>23</v>
      </c>
      <c r="I17" s="172">
        <f>VLOOKUP($A17,Feedstuffs!$A$11:$U$302,6)</f>
        <v>56</v>
      </c>
      <c r="J17" s="174">
        <f>VLOOKUP($A17,Feedstuffs!$A$11:$U$302,7)</f>
        <v>5</v>
      </c>
      <c r="K17" s="175">
        <f>VLOOKUP($A17,Feedstuffs!$A$11:$U$302,8)</f>
        <v>30</v>
      </c>
      <c r="L17" s="172">
        <f>VLOOKUP($A17,Feedstuffs!$A$11:$U$302,9)</f>
        <v>35</v>
      </c>
      <c r="M17" s="172">
        <f>VLOOKUP($A17,Feedstuffs!$A$11:$U$302,10)</f>
        <v>44</v>
      </c>
      <c r="N17" s="172">
        <f>VLOOKUP($A17,Feedstuffs!$A$11:$U$302,11)</f>
        <v>70</v>
      </c>
      <c r="O17" s="172">
        <f>VLOOKUP($A17,Feedstuffs!$A$11:$U$302,12)</f>
        <v>100</v>
      </c>
      <c r="P17" s="173">
        <f>VLOOKUP($A17,Feedstuffs!$A$11:$U$302,13)</f>
        <v>1.3</v>
      </c>
      <c r="Q17" s="172">
        <f>VLOOKUP($A17,Feedstuffs!$A$11:$U$302,14)</f>
        <v>7</v>
      </c>
      <c r="R17" s="172">
        <f>VLOOKUP($A17,Feedstuffs!$A$11:$U$302,15)</f>
        <v>0.35</v>
      </c>
      <c r="S17" s="172">
        <f>VLOOKUP($A17,Feedstuffs!$A$11:$U$302,16)</f>
        <v>0.19</v>
      </c>
      <c r="T17" s="172">
        <f>VLOOKUP($A17,Feedstuffs!$A$11:$U$302,17)</f>
        <v>1.1</v>
      </c>
      <c r="U17" s="176">
        <f>VLOOKUP($A17,Feedstuffs!$A$11:$U$302,19)</f>
        <v>0.14</v>
      </c>
      <c r="V17" s="150"/>
      <c r="W17" s="45"/>
      <c r="X17" s="45"/>
      <c r="Y17" s="45"/>
      <c r="Z17" s="45"/>
      <c r="AA17" s="45"/>
      <c r="AB17" s="146"/>
      <c r="AC17" s="146"/>
      <c r="AD17" s="146"/>
      <c r="AE17" s="146"/>
      <c r="AF17" s="146"/>
      <c r="AG17" s="146"/>
      <c r="AH17" s="146"/>
      <c r="AI17" s="146"/>
      <c r="AJ17" s="146"/>
      <c r="AK17" s="146"/>
      <c r="AL17" s="146"/>
      <c r="AM17" s="146"/>
      <c r="AN17" s="146"/>
      <c r="AO17" s="146"/>
      <c r="AP17" s="146"/>
      <c r="AQ17" s="146"/>
    </row>
    <row r="18" spans="1:43" s="40" customFormat="1" ht="17.25" customHeight="1">
      <c r="A18" s="321" t="s">
        <v>142</v>
      </c>
      <c r="B18" s="322">
        <v>50</v>
      </c>
      <c r="C18" s="69">
        <v>0.3</v>
      </c>
      <c r="D18" s="177">
        <f t="shared" si="0"/>
        <v>0.291</v>
      </c>
      <c r="E18" s="177">
        <f>VLOOKUP($A18,Feedstuffs!$A$11:$T$302,2)</f>
        <v>97</v>
      </c>
      <c r="F18" s="178">
        <f>VLOOKUP($A18,Feedstuffs!$A$11:$T$302,3)</f>
        <v>0</v>
      </c>
      <c r="G18" s="177">
        <f>VLOOKUP($A18,Feedstuffs!$A$11:$U$302,4)</f>
        <v>0</v>
      </c>
      <c r="H18" s="177">
        <f>VLOOKUP($A18,Feedstuffs!$A$11:$U$302,5)</f>
        <v>0</v>
      </c>
      <c r="I18" s="177">
        <f>VLOOKUP($A18,Feedstuffs!$A$11:$U$302,6)</f>
        <v>0</v>
      </c>
      <c r="J18" s="179">
        <f>VLOOKUP($A18,Feedstuffs!$A$11:$U$302,7)</f>
        <v>0</v>
      </c>
      <c r="K18" s="180">
        <f>VLOOKUP($A18,Feedstuffs!$A$11:$U$302,8)</f>
        <v>0</v>
      </c>
      <c r="L18" s="177">
        <f>VLOOKUP($A18,Feedstuffs!$A$11:$U$302,9)</f>
        <v>0</v>
      </c>
      <c r="M18" s="177">
        <f>VLOOKUP($A18,Feedstuffs!$A$11:$U$302,10)</f>
        <v>0</v>
      </c>
      <c r="N18" s="177">
        <f>VLOOKUP($A18,Feedstuffs!$A$11:$U$302,11)</f>
        <v>0</v>
      </c>
      <c r="O18" s="177">
        <f>VLOOKUP($A18,Feedstuffs!$A$11:$U$302,12)</f>
        <v>0</v>
      </c>
      <c r="P18" s="178">
        <f>VLOOKUP($A18,Feedstuffs!$A$11:$U$302,13)</f>
        <v>0</v>
      </c>
      <c r="Q18" s="177">
        <f>VLOOKUP($A18,Feedstuffs!$A$11:$U$302,14)</f>
        <v>95</v>
      </c>
      <c r="R18" s="177">
        <f>VLOOKUP($A18,Feedstuffs!$A$11:$U$302,15)</f>
        <v>1</v>
      </c>
      <c r="S18" s="177">
        <f>VLOOKUP($A18,Feedstuffs!$A$11:$U$302,16)</f>
        <v>22</v>
      </c>
      <c r="T18" s="177">
        <f>VLOOKUP($A18,Feedstuffs!$A$11:$U$302,17)</f>
        <v>0.1</v>
      </c>
      <c r="U18" s="181">
        <f>VLOOKUP($A18,Feedstuffs!$A$11:$U$302,19)</f>
        <v>0.9</v>
      </c>
      <c r="V18" s="150"/>
      <c r="W18" s="45"/>
      <c r="X18" s="45"/>
      <c r="Y18" s="45"/>
      <c r="Z18" s="45"/>
      <c r="AA18" s="45"/>
      <c r="AB18" s="146"/>
      <c r="AC18" s="146"/>
      <c r="AD18" s="146"/>
      <c r="AE18" s="146"/>
      <c r="AF18" s="146"/>
      <c r="AG18" s="146"/>
      <c r="AH18" s="146"/>
      <c r="AI18" s="146"/>
      <c r="AJ18" s="146"/>
      <c r="AK18" s="146"/>
      <c r="AL18" s="146"/>
      <c r="AM18" s="146"/>
      <c r="AN18" s="146"/>
      <c r="AO18" s="146"/>
      <c r="AP18" s="146"/>
      <c r="AQ18" s="146"/>
    </row>
    <row r="19" spans="1:43" s="40" customFormat="1" ht="17.25" customHeight="1">
      <c r="A19" s="319"/>
      <c r="B19" s="320"/>
      <c r="C19" s="118"/>
      <c r="D19" s="172">
        <f t="shared" si="0"/>
        <v>0</v>
      </c>
      <c r="E19" s="172">
        <f>VLOOKUP($A19,Feedstuffs!$A$11:$T$302,2)</f>
        <v>0</v>
      </c>
      <c r="F19" s="173">
        <f>VLOOKUP($A19,Feedstuffs!$A$11:$T$302,3)</f>
        <v>0</v>
      </c>
      <c r="G19" s="172">
        <f>VLOOKUP($A19,Feedstuffs!$A$11:$U$302,4)</f>
        <v>0</v>
      </c>
      <c r="H19" s="172">
        <f>VLOOKUP($A19,Feedstuffs!$A$11:$U$302,5)</f>
        <v>0</v>
      </c>
      <c r="I19" s="172">
        <f>VLOOKUP($A19,Feedstuffs!$A$11:$U$302,6)</f>
        <v>0</v>
      </c>
      <c r="J19" s="174">
        <f>VLOOKUP($A19,Feedstuffs!$A$11:$U$302,7)</f>
        <v>0</v>
      </c>
      <c r="K19" s="175">
        <f>VLOOKUP($A19,Feedstuffs!$A$11:$U$302,8)</f>
        <v>0</v>
      </c>
      <c r="L19" s="172">
        <f>VLOOKUP($A19,Feedstuffs!$A$11:$U$302,9)</f>
        <v>0</v>
      </c>
      <c r="M19" s="172">
        <f>VLOOKUP($A19,Feedstuffs!$A$11:$U$302,10)</f>
        <v>0</v>
      </c>
      <c r="N19" s="172">
        <f>VLOOKUP($A19,Feedstuffs!$A$11:$U$302,11)</f>
        <v>0</v>
      </c>
      <c r="O19" s="172">
        <f>VLOOKUP($A19,Feedstuffs!$A$11:$U$302,12)</f>
        <v>0</v>
      </c>
      <c r="P19" s="173">
        <f>VLOOKUP($A19,Feedstuffs!$A$11:$U$302,13)</f>
        <v>0</v>
      </c>
      <c r="Q19" s="172">
        <f>VLOOKUP($A19,Feedstuffs!$A$11:$U$302,14)</f>
        <v>0</v>
      </c>
      <c r="R19" s="172">
        <f>VLOOKUP($A19,Feedstuffs!$A$11:$U$302,15)</f>
        <v>0</v>
      </c>
      <c r="S19" s="172">
        <f>VLOOKUP($A19,Feedstuffs!$A$11:$U$302,16)</f>
        <v>0</v>
      </c>
      <c r="T19" s="172">
        <f>VLOOKUP($A19,Feedstuffs!$A$11:$U$302,17)</f>
        <v>0</v>
      </c>
      <c r="U19" s="176">
        <f>VLOOKUP($A19,Feedstuffs!$A$11:$U$302,19)</f>
        <v>0</v>
      </c>
      <c r="V19" s="150"/>
      <c r="W19" s="45"/>
      <c r="X19" s="45"/>
      <c r="Y19" s="45"/>
      <c r="Z19" s="45"/>
      <c r="AA19" s="45"/>
      <c r="AB19" s="146"/>
      <c r="AC19" s="146"/>
      <c r="AD19" s="146"/>
      <c r="AE19" s="146"/>
      <c r="AF19" s="146"/>
      <c r="AG19" s="146"/>
      <c r="AH19" s="146"/>
      <c r="AI19" s="146"/>
      <c r="AJ19" s="146"/>
      <c r="AK19" s="146"/>
      <c r="AL19" s="146"/>
      <c r="AM19" s="146"/>
      <c r="AN19" s="146"/>
      <c r="AO19" s="146"/>
      <c r="AP19" s="146"/>
      <c r="AQ19" s="146"/>
    </row>
    <row r="20" spans="1:43" s="40" customFormat="1" ht="17.25" customHeight="1">
      <c r="A20" s="321"/>
      <c r="B20" s="322"/>
      <c r="C20" s="69"/>
      <c r="D20" s="177">
        <f t="shared" si="0"/>
        <v>0</v>
      </c>
      <c r="E20" s="177">
        <f>VLOOKUP($A20,Feedstuffs!$A$11:$T$302,2)</f>
        <v>0</v>
      </c>
      <c r="F20" s="178">
        <f>VLOOKUP($A20,Feedstuffs!$A$11:$T$302,3)</f>
        <v>0</v>
      </c>
      <c r="G20" s="177">
        <f>VLOOKUP($A20,Feedstuffs!$A$11:$U$302,4)</f>
        <v>0</v>
      </c>
      <c r="H20" s="177">
        <f>VLOOKUP($A20,Feedstuffs!$A$11:$U$302,5)</f>
        <v>0</v>
      </c>
      <c r="I20" s="177">
        <f>VLOOKUP($A20,Feedstuffs!$A$11:$U$302,6)</f>
        <v>0</v>
      </c>
      <c r="J20" s="179">
        <f>VLOOKUP($A20,Feedstuffs!$A$11:$U$302,7)</f>
        <v>0</v>
      </c>
      <c r="K20" s="180">
        <f>VLOOKUP($A20,Feedstuffs!$A$11:$U$302,8)</f>
        <v>0</v>
      </c>
      <c r="L20" s="177">
        <f>VLOOKUP($A20,Feedstuffs!$A$11:$U$302,9)</f>
        <v>0</v>
      </c>
      <c r="M20" s="177">
        <f>VLOOKUP($A20,Feedstuffs!$A$11:$U$302,10)</f>
        <v>0</v>
      </c>
      <c r="N20" s="177">
        <f>VLOOKUP($A20,Feedstuffs!$A$11:$U$302,11)</f>
        <v>0</v>
      </c>
      <c r="O20" s="177">
        <f>VLOOKUP($A20,Feedstuffs!$A$11:$U$302,12)</f>
        <v>0</v>
      </c>
      <c r="P20" s="178">
        <f>VLOOKUP($A20,Feedstuffs!$A$11:$U$302,13)</f>
        <v>0</v>
      </c>
      <c r="Q20" s="177">
        <f>VLOOKUP($A20,Feedstuffs!$A$11:$U$302,14)</f>
        <v>0</v>
      </c>
      <c r="R20" s="177">
        <f>VLOOKUP($A20,Feedstuffs!$A$11:$U$302,15)</f>
        <v>0</v>
      </c>
      <c r="S20" s="177">
        <f>VLOOKUP($A20,Feedstuffs!$A$11:$U$302,16)</f>
        <v>0</v>
      </c>
      <c r="T20" s="177">
        <f>VLOOKUP($A20,Feedstuffs!$A$11:$U$302,17)</f>
        <v>0</v>
      </c>
      <c r="U20" s="181">
        <f>VLOOKUP($A20,Feedstuffs!$A$11:$U$302,19)</f>
        <v>0</v>
      </c>
      <c r="V20" s="150"/>
      <c r="W20" s="45"/>
      <c r="X20" s="45"/>
      <c r="Y20" s="45"/>
      <c r="Z20" s="45"/>
      <c r="AA20" s="45"/>
      <c r="AB20" s="146"/>
      <c r="AC20" s="146"/>
      <c r="AD20" s="146"/>
      <c r="AE20" s="146"/>
      <c r="AF20" s="146"/>
      <c r="AG20" s="146"/>
      <c r="AH20" s="146"/>
      <c r="AI20" s="146"/>
      <c r="AJ20" s="146"/>
      <c r="AK20" s="146"/>
      <c r="AL20" s="146"/>
      <c r="AM20" s="146"/>
      <c r="AN20" s="146"/>
      <c r="AO20" s="146"/>
      <c r="AP20" s="146"/>
      <c r="AQ20" s="146"/>
    </row>
    <row r="21" spans="1:43" s="40" customFormat="1" ht="17.25" customHeight="1">
      <c r="A21" s="319"/>
      <c r="B21" s="320"/>
      <c r="C21" s="118"/>
      <c r="D21" s="172">
        <f t="shared" si="0"/>
        <v>0</v>
      </c>
      <c r="E21" s="172">
        <f>VLOOKUP($A21,Feedstuffs!$A$11:$T$302,2)</f>
        <v>0</v>
      </c>
      <c r="F21" s="173">
        <f>VLOOKUP($A21,Feedstuffs!$A$11:$T$302,3)</f>
        <v>0</v>
      </c>
      <c r="G21" s="172">
        <f>VLOOKUP($A21,Feedstuffs!$A$11:$U$302,4)</f>
        <v>0</v>
      </c>
      <c r="H21" s="172">
        <f>VLOOKUP($A21,Feedstuffs!$A$11:$U$302,5)</f>
        <v>0</v>
      </c>
      <c r="I21" s="172">
        <f>VLOOKUP($A21,Feedstuffs!$A$11:$U$302,6)</f>
        <v>0</v>
      </c>
      <c r="J21" s="174">
        <f>VLOOKUP($A21,Feedstuffs!$A$11:$U$302,7)</f>
        <v>0</v>
      </c>
      <c r="K21" s="175">
        <f>VLOOKUP($A21,Feedstuffs!$A$11:$U$302,8)</f>
        <v>0</v>
      </c>
      <c r="L21" s="172">
        <f>VLOOKUP($A21,Feedstuffs!$A$11:$U$302,9)</f>
        <v>0</v>
      </c>
      <c r="M21" s="172">
        <f>VLOOKUP($A21,Feedstuffs!$A$11:$U$302,10)</f>
        <v>0</v>
      </c>
      <c r="N21" s="172">
        <f>VLOOKUP($A21,Feedstuffs!$A$11:$U$302,11)</f>
        <v>0</v>
      </c>
      <c r="O21" s="172">
        <f>VLOOKUP($A21,Feedstuffs!$A$11:$U$302,12)</f>
        <v>0</v>
      </c>
      <c r="P21" s="173">
        <f>VLOOKUP($A21,Feedstuffs!$A$11:$U$302,13)</f>
        <v>0</v>
      </c>
      <c r="Q21" s="172">
        <f>VLOOKUP($A21,Feedstuffs!$A$11:$U$302,14)</f>
        <v>0</v>
      </c>
      <c r="R21" s="172">
        <f>VLOOKUP($A21,Feedstuffs!$A$11:$U$302,15)</f>
        <v>0</v>
      </c>
      <c r="S21" s="172">
        <f>VLOOKUP($A21,Feedstuffs!$A$11:$U$302,16)</f>
        <v>0</v>
      </c>
      <c r="T21" s="172">
        <f>VLOOKUP($A21,Feedstuffs!$A$11:$U$302,17)</f>
        <v>0</v>
      </c>
      <c r="U21" s="176">
        <f>VLOOKUP($A21,Feedstuffs!$A$11:$U$302,19)</f>
        <v>0</v>
      </c>
      <c r="V21" s="150"/>
      <c r="W21" s="45"/>
      <c r="X21" s="45"/>
      <c r="Y21" s="45"/>
      <c r="Z21" s="45"/>
      <c r="AA21" s="45"/>
      <c r="AB21" s="146"/>
      <c r="AC21" s="146"/>
      <c r="AD21" s="146"/>
      <c r="AE21" s="146"/>
      <c r="AF21" s="146"/>
      <c r="AG21" s="146"/>
      <c r="AH21" s="146"/>
      <c r="AI21" s="146"/>
      <c r="AJ21" s="146"/>
      <c r="AK21" s="146"/>
      <c r="AL21" s="146"/>
      <c r="AM21" s="146"/>
      <c r="AN21" s="146"/>
      <c r="AO21" s="146"/>
      <c r="AP21" s="146"/>
      <c r="AQ21" s="146"/>
    </row>
    <row r="22" spans="1:43" s="40" customFormat="1" ht="17.25" customHeight="1">
      <c r="A22" s="321"/>
      <c r="B22" s="322"/>
      <c r="C22" s="69"/>
      <c r="D22" s="177">
        <f t="shared" si="0"/>
        <v>0</v>
      </c>
      <c r="E22" s="177">
        <f>VLOOKUP($A22,Feedstuffs!$A$11:$T$302,2)</f>
        <v>0</v>
      </c>
      <c r="F22" s="178">
        <f>VLOOKUP($A22,Feedstuffs!$A$11:$T$302,3)</f>
        <v>0</v>
      </c>
      <c r="G22" s="177">
        <f>VLOOKUP($A22,Feedstuffs!$A$11:$U$302,4)</f>
        <v>0</v>
      </c>
      <c r="H22" s="177">
        <f>VLOOKUP($A22,Feedstuffs!$A$11:$U$302,5)</f>
        <v>0</v>
      </c>
      <c r="I22" s="177">
        <f>VLOOKUP($A22,Feedstuffs!$A$11:$U$302,6)</f>
        <v>0</v>
      </c>
      <c r="J22" s="179">
        <f>VLOOKUP($A22,Feedstuffs!$A$11:$U$302,7)</f>
        <v>0</v>
      </c>
      <c r="K22" s="180">
        <f>VLOOKUP($A22,Feedstuffs!$A$11:$U$302,8)</f>
        <v>0</v>
      </c>
      <c r="L22" s="177">
        <f>VLOOKUP($A22,Feedstuffs!$A$11:$U$302,9)</f>
        <v>0</v>
      </c>
      <c r="M22" s="177">
        <f>VLOOKUP($A22,Feedstuffs!$A$11:$U$302,10)</f>
        <v>0</v>
      </c>
      <c r="N22" s="177">
        <f>VLOOKUP($A22,Feedstuffs!$A$11:$U$302,11)</f>
        <v>0</v>
      </c>
      <c r="O22" s="177">
        <f>VLOOKUP($A22,Feedstuffs!$A$11:$U$302,12)</f>
        <v>0</v>
      </c>
      <c r="P22" s="178">
        <f>VLOOKUP($A22,Feedstuffs!$A$11:$U$302,13)</f>
        <v>0</v>
      </c>
      <c r="Q22" s="177">
        <f>VLOOKUP($A22,Feedstuffs!$A$11:$U$302,14)</f>
        <v>0</v>
      </c>
      <c r="R22" s="177">
        <f>VLOOKUP($A22,Feedstuffs!$A$11:$U$302,15)</f>
        <v>0</v>
      </c>
      <c r="S22" s="177">
        <f>VLOOKUP($A22,Feedstuffs!$A$11:$U$302,16)</f>
        <v>0</v>
      </c>
      <c r="T22" s="177">
        <f>VLOOKUP($A22,Feedstuffs!$A$11:$U$302,17)</f>
        <v>0</v>
      </c>
      <c r="U22" s="181">
        <f>VLOOKUP($A22,Feedstuffs!$A$11:$U$302,19)</f>
        <v>0</v>
      </c>
      <c r="V22" s="150"/>
      <c r="W22" s="45"/>
      <c r="X22" s="45"/>
      <c r="Y22" s="45"/>
      <c r="Z22" s="45"/>
      <c r="AA22" s="45"/>
      <c r="AB22" s="146"/>
      <c r="AC22" s="146"/>
      <c r="AD22" s="146"/>
      <c r="AE22" s="146"/>
      <c r="AF22" s="146"/>
      <c r="AG22" s="146"/>
      <c r="AH22" s="146"/>
      <c r="AI22" s="146"/>
      <c r="AJ22" s="146"/>
      <c r="AK22" s="146"/>
      <c r="AL22" s="146"/>
      <c r="AM22" s="146"/>
      <c r="AN22" s="146"/>
      <c r="AO22" s="146"/>
      <c r="AP22" s="146"/>
      <c r="AQ22" s="146"/>
    </row>
    <row r="23" spans="1:43" s="40" customFormat="1" ht="17.25" customHeight="1">
      <c r="A23" s="319"/>
      <c r="B23" s="320"/>
      <c r="C23" s="118"/>
      <c r="D23" s="172">
        <f t="shared" si="0"/>
        <v>0</v>
      </c>
      <c r="E23" s="172">
        <f>VLOOKUP($A23,Feedstuffs!$A$11:$T$302,2)</f>
        <v>0</v>
      </c>
      <c r="F23" s="173">
        <f>VLOOKUP($A23,Feedstuffs!$A$11:$T$302,3)</f>
        <v>0</v>
      </c>
      <c r="G23" s="172">
        <f>VLOOKUP($A23,Feedstuffs!$A$11:$U$302,4)</f>
        <v>0</v>
      </c>
      <c r="H23" s="172">
        <f>VLOOKUP($A23,Feedstuffs!$A$11:$U$302,5)</f>
        <v>0</v>
      </c>
      <c r="I23" s="172">
        <f>VLOOKUP($A23,Feedstuffs!$A$11:$U$302,6)</f>
        <v>0</v>
      </c>
      <c r="J23" s="174">
        <f>VLOOKUP($A23,Feedstuffs!$A$11:$U$302,7)</f>
        <v>0</v>
      </c>
      <c r="K23" s="175">
        <f>VLOOKUP($A23,Feedstuffs!$A$11:$U$302,8)</f>
        <v>0</v>
      </c>
      <c r="L23" s="172">
        <f>VLOOKUP($A23,Feedstuffs!$A$11:$U$302,9)</f>
        <v>0</v>
      </c>
      <c r="M23" s="172">
        <f>VLOOKUP($A23,Feedstuffs!$A$11:$U$302,10)</f>
        <v>0</v>
      </c>
      <c r="N23" s="172">
        <f>VLOOKUP($A23,Feedstuffs!$A$11:$U$302,11)</f>
        <v>0</v>
      </c>
      <c r="O23" s="172">
        <f>VLOOKUP($A23,Feedstuffs!$A$11:$U$302,12)</f>
        <v>0</v>
      </c>
      <c r="P23" s="173">
        <f>VLOOKUP($A23,Feedstuffs!$A$11:$U$302,13)</f>
        <v>0</v>
      </c>
      <c r="Q23" s="172">
        <f>VLOOKUP($A23,Feedstuffs!$A$11:$U$302,14)</f>
        <v>0</v>
      </c>
      <c r="R23" s="172">
        <f>VLOOKUP($A23,Feedstuffs!$A$11:$U$302,15)</f>
        <v>0</v>
      </c>
      <c r="S23" s="172">
        <f>VLOOKUP($A23,Feedstuffs!$A$11:$U$302,16)</f>
        <v>0</v>
      </c>
      <c r="T23" s="172">
        <f>VLOOKUP($A23,Feedstuffs!$A$11:$U$302,17)</f>
        <v>0</v>
      </c>
      <c r="U23" s="176">
        <f>VLOOKUP($A23,Feedstuffs!$A$11:$U$302,19)</f>
        <v>0</v>
      </c>
      <c r="V23" s="150"/>
      <c r="W23" s="45"/>
      <c r="X23" s="45"/>
      <c r="Y23" s="45"/>
      <c r="Z23" s="45"/>
      <c r="AA23" s="45"/>
      <c r="AB23" s="146"/>
      <c r="AC23" s="146"/>
      <c r="AD23" s="146"/>
      <c r="AE23" s="146"/>
      <c r="AF23" s="146"/>
      <c r="AG23" s="146"/>
      <c r="AH23" s="146"/>
      <c r="AI23" s="146"/>
      <c r="AJ23" s="146"/>
      <c r="AK23" s="146"/>
      <c r="AL23" s="146"/>
      <c r="AM23" s="146"/>
      <c r="AN23" s="146"/>
      <c r="AO23" s="146"/>
      <c r="AP23" s="146"/>
      <c r="AQ23" s="146"/>
    </row>
    <row r="24" spans="1:43" s="40" customFormat="1" ht="17.25" customHeight="1">
      <c r="A24" s="321"/>
      <c r="B24" s="322"/>
      <c r="C24" s="69"/>
      <c r="D24" s="177">
        <f t="shared" si="0"/>
        <v>0</v>
      </c>
      <c r="E24" s="177">
        <f>VLOOKUP($A24,Feedstuffs!$A$11:$T$302,2)</f>
        <v>0</v>
      </c>
      <c r="F24" s="178">
        <f>VLOOKUP($A24,Feedstuffs!$A$11:$T$302,3)</f>
        <v>0</v>
      </c>
      <c r="G24" s="177">
        <f>VLOOKUP($A24,Feedstuffs!$A$11:$U$302,4)</f>
        <v>0</v>
      </c>
      <c r="H24" s="177">
        <f>VLOOKUP($A24,Feedstuffs!$A$11:$U$302,5)</f>
        <v>0</v>
      </c>
      <c r="I24" s="177">
        <f>VLOOKUP($A24,Feedstuffs!$A$11:$U$302,6)</f>
        <v>0</v>
      </c>
      <c r="J24" s="179">
        <f>VLOOKUP($A24,Feedstuffs!$A$11:$U$302,7)</f>
        <v>0</v>
      </c>
      <c r="K24" s="180">
        <f>VLOOKUP($A24,Feedstuffs!$A$11:$U$302,8)</f>
        <v>0</v>
      </c>
      <c r="L24" s="177">
        <f>VLOOKUP($A24,Feedstuffs!$A$11:$U$302,9)</f>
        <v>0</v>
      </c>
      <c r="M24" s="177">
        <f>VLOOKUP($A24,Feedstuffs!$A$11:$U$302,10)</f>
        <v>0</v>
      </c>
      <c r="N24" s="177">
        <f>VLOOKUP($A24,Feedstuffs!$A$11:$U$302,11)</f>
        <v>0</v>
      </c>
      <c r="O24" s="177">
        <f>VLOOKUP($A24,Feedstuffs!$A$11:$U$302,12)</f>
        <v>0</v>
      </c>
      <c r="P24" s="178">
        <f>VLOOKUP($A24,Feedstuffs!$A$11:$U$302,13)</f>
        <v>0</v>
      </c>
      <c r="Q24" s="177">
        <f>VLOOKUP($A24,Feedstuffs!$A$11:$U$302,14)</f>
        <v>0</v>
      </c>
      <c r="R24" s="177">
        <f>VLOOKUP($A24,Feedstuffs!$A$11:$U$302,15)</f>
        <v>0</v>
      </c>
      <c r="S24" s="177">
        <f>VLOOKUP($A24,Feedstuffs!$A$11:$U$302,16)</f>
        <v>0</v>
      </c>
      <c r="T24" s="177">
        <f>VLOOKUP($A24,Feedstuffs!$A$11:$U$302,17)</f>
        <v>0</v>
      </c>
      <c r="U24" s="181">
        <f>VLOOKUP($A24,Feedstuffs!$A$11:$U$302,19)</f>
        <v>0</v>
      </c>
      <c r="V24" s="150"/>
      <c r="W24" s="45"/>
      <c r="X24" s="45"/>
      <c r="Y24" s="45"/>
      <c r="Z24" s="45"/>
      <c r="AA24" s="45"/>
      <c r="AB24" s="146"/>
      <c r="AC24" s="146"/>
      <c r="AD24" s="146"/>
      <c r="AE24" s="146"/>
      <c r="AF24" s="146"/>
      <c r="AG24" s="146"/>
      <c r="AH24" s="146"/>
      <c r="AI24" s="146"/>
      <c r="AJ24" s="146"/>
      <c r="AK24" s="146"/>
      <c r="AL24" s="146"/>
      <c r="AM24" s="146"/>
      <c r="AN24" s="146"/>
      <c r="AO24" s="146"/>
      <c r="AP24" s="146"/>
      <c r="AQ24" s="146"/>
    </row>
    <row r="25" spans="1:43" s="40" customFormat="1" ht="17.25" customHeight="1" thickBot="1">
      <c r="A25" s="323"/>
      <c r="B25" s="324"/>
      <c r="C25" s="119"/>
      <c r="D25" s="182">
        <f t="shared" si="0"/>
        <v>0</v>
      </c>
      <c r="E25" s="182">
        <f>VLOOKUP($A25,Feedstuffs!$A$11:$T$302,2)</f>
        <v>0</v>
      </c>
      <c r="F25" s="183">
        <f>VLOOKUP($A25,Feedstuffs!$A$11:$T$302,3)</f>
        <v>0</v>
      </c>
      <c r="G25" s="182">
        <f>VLOOKUP($A25,Feedstuffs!$A$11:$U$302,4)</f>
        <v>0</v>
      </c>
      <c r="H25" s="182">
        <f>VLOOKUP($A25,Feedstuffs!$A$11:$U$302,5)</f>
        <v>0</v>
      </c>
      <c r="I25" s="182">
        <f>VLOOKUP($A25,Feedstuffs!$A$11:$U$302,6)</f>
        <v>0</v>
      </c>
      <c r="J25" s="184">
        <f>VLOOKUP($A25,Feedstuffs!$A$11:$U$302,7)</f>
        <v>0</v>
      </c>
      <c r="K25" s="185">
        <f>VLOOKUP($A25,Feedstuffs!$A$11:$U$302,8)</f>
        <v>0</v>
      </c>
      <c r="L25" s="182">
        <f>VLOOKUP($A25,Feedstuffs!$A$11:$U$302,9)</f>
        <v>0</v>
      </c>
      <c r="M25" s="182">
        <f>VLOOKUP($A25,Feedstuffs!$A$11:$U$302,10)</f>
        <v>0</v>
      </c>
      <c r="N25" s="182">
        <f>VLOOKUP($A25,Feedstuffs!$A$11:$U$302,11)</f>
        <v>0</v>
      </c>
      <c r="O25" s="182">
        <f>VLOOKUP($A25,Feedstuffs!$A$11:$U$302,12)</f>
        <v>0</v>
      </c>
      <c r="P25" s="183">
        <f>VLOOKUP($A25,Feedstuffs!$A$11:$U$302,13)</f>
        <v>0</v>
      </c>
      <c r="Q25" s="182">
        <f>VLOOKUP($A25,Feedstuffs!$A$11:$U$302,14)</f>
        <v>0</v>
      </c>
      <c r="R25" s="182">
        <f>VLOOKUP($A25,Feedstuffs!$A$11:$U$302,15)</f>
        <v>0</v>
      </c>
      <c r="S25" s="182">
        <f>VLOOKUP($A25,Feedstuffs!$A$11:$U$302,16)</f>
        <v>0</v>
      </c>
      <c r="T25" s="182">
        <f>VLOOKUP($A25,Feedstuffs!$A$11:$U$302,17)</f>
        <v>0</v>
      </c>
      <c r="U25" s="186">
        <f>VLOOKUP($A25,Feedstuffs!$A$11:$U$302,19)</f>
        <v>0</v>
      </c>
      <c r="V25" s="150"/>
      <c r="W25" s="45"/>
      <c r="X25" s="45"/>
      <c r="Y25" s="45"/>
      <c r="Z25" s="45"/>
      <c r="AA25" s="45"/>
      <c r="AB25" s="146"/>
      <c r="AC25" s="146"/>
      <c r="AD25" s="146"/>
      <c r="AE25" s="146"/>
      <c r="AF25" s="146"/>
      <c r="AG25" s="146"/>
      <c r="AH25" s="146"/>
      <c r="AI25" s="146"/>
      <c r="AJ25" s="146"/>
      <c r="AK25" s="146"/>
      <c r="AL25" s="146"/>
      <c r="AM25" s="146"/>
      <c r="AN25" s="146"/>
      <c r="AO25" s="146"/>
      <c r="AP25" s="146"/>
      <c r="AQ25" s="146"/>
    </row>
    <row r="26" spans="1:43" s="40" customFormat="1" ht="15" customHeight="1">
      <c r="A26" s="187"/>
      <c r="B26" s="188"/>
      <c r="C26" s="332" t="s">
        <v>413</v>
      </c>
      <c r="D26" s="333"/>
      <c r="E26" s="333"/>
      <c r="F26" s="160"/>
      <c r="G26" s="333" t="s">
        <v>531</v>
      </c>
      <c r="H26" s="333"/>
      <c r="I26" s="333"/>
      <c r="J26" s="368" t="s">
        <v>532</v>
      </c>
      <c r="K26" s="369"/>
      <c r="L26" s="333" t="s">
        <v>522</v>
      </c>
      <c r="M26" s="333"/>
      <c r="N26" s="333"/>
      <c r="O26" s="333"/>
      <c r="P26" s="159"/>
      <c r="Q26" s="333" t="s">
        <v>477</v>
      </c>
      <c r="R26" s="333"/>
      <c r="S26" s="333"/>
      <c r="T26" s="333"/>
      <c r="U26" s="372"/>
      <c r="V26" s="150"/>
      <c r="W26" s="45"/>
      <c r="X26" s="45"/>
      <c r="Y26" s="45"/>
      <c r="Z26" s="45"/>
      <c r="AA26" s="45"/>
      <c r="AB26" s="146"/>
      <c r="AC26" s="146"/>
      <c r="AD26" s="146"/>
      <c r="AE26" s="146"/>
      <c r="AF26" s="146"/>
      <c r="AG26" s="146"/>
      <c r="AH26" s="146"/>
      <c r="AI26" s="146"/>
      <c r="AJ26" s="146"/>
      <c r="AK26" s="146"/>
      <c r="AL26" s="146"/>
      <c r="AM26" s="146"/>
      <c r="AN26" s="146"/>
      <c r="AO26" s="146"/>
      <c r="AP26" s="146"/>
      <c r="AQ26" s="146"/>
    </row>
    <row r="27" spans="1:43" s="40" customFormat="1" ht="15" customHeight="1">
      <c r="A27" s="121"/>
      <c r="B27" s="70"/>
      <c r="C27" s="367" t="s">
        <v>413</v>
      </c>
      <c r="D27" s="340"/>
      <c r="E27" s="20" t="s">
        <v>509</v>
      </c>
      <c r="F27" s="189" t="s">
        <v>510</v>
      </c>
      <c r="G27" s="20" t="s">
        <v>408</v>
      </c>
      <c r="H27" s="20" t="s">
        <v>409</v>
      </c>
      <c r="I27" s="20" t="s">
        <v>410</v>
      </c>
      <c r="J27" s="130" t="s">
        <v>511</v>
      </c>
      <c r="K27" s="190" t="s">
        <v>534</v>
      </c>
      <c r="L27" s="20" t="s">
        <v>535</v>
      </c>
      <c r="M27" s="20" t="s">
        <v>536</v>
      </c>
      <c r="N27" s="20" t="s">
        <v>537</v>
      </c>
      <c r="O27" s="20" t="s">
        <v>538</v>
      </c>
      <c r="P27" s="189" t="s">
        <v>521</v>
      </c>
      <c r="Q27" s="20" t="s">
        <v>540</v>
      </c>
      <c r="R27" s="20" t="s">
        <v>518</v>
      </c>
      <c r="S27" s="20" t="s">
        <v>513</v>
      </c>
      <c r="T27" s="20" t="s">
        <v>541</v>
      </c>
      <c r="U27" s="131" t="s">
        <v>520</v>
      </c>
      <c r="V27" s="150"/>
      <c r="W27" s="45"/>
      <c r="X27" s="45"/>
      <c r="Y27" s="45"/>
      <c r="Z27" s="45"/>
      <c r="AA27" s="45"/>
      <c r="AB27" s="146"/>
      <c r="AC27" s="146"/>
      <c r="AD27" s="146"/>
      <c r="AE27" s="146"/>
      <c r="AF27" s="146"/>
      <c r="AG27" s="146"/>
      <c r="AH27" s="146"/>
      <c r="AI27" s="146"/>
      <c r="AJ27" s="146"/>
      <c r="AK27" s="146"/>
      <c r="AL27" s="146"/>
      <c r="AM27" s="146"/>
      <c r="AN27" s="146"/>
      <c r="AO27" s="146"/>
      <c r="AP27" s="146"/>
      <c r="AQ27" s="146"/>
    </row>
    <row r="28" spans="1:43" s="40" customFormat="1" ht="15" customHeight="1" thickBot="1">
      <c r="A28" s="191"/>
      <c r="B28" s="192"/>
      <c r="C28" s="161" t="s">
        <v>414</v>
      </c>
      <c r="D28" s="163" t="s">
        <v>509</v>
      </c>
      <c r="E28" s="129" t="s">
        <v>519</v>
      </c>
      <c r="F28" s="165" t="s">
        <v>519</v>
      </c>
      <c r="G28" s="329" t="s">
        <v>544</v>
      </c>
      <c r="H28" s="329"/>
      <c r="I28" s="329"/>
      <c r="J28" s="166" t="s">
        <v>519</v>
      </c>
      <c r="K28" s="164" t="s">
        <v>519</v>
      </c>
      <c r="L28" s="129" t="s">
        <v>519</v>
      </c>
      <c r="M28" s="129" t="s">
        <v>519</v>
      </c>
      <c r="N28" s="129" t="s">
        <v>519</v>
      </c>
      <c r="O28" s="129" t="s">
        <v>519</v>
      </c>
      <c r="P28" s="165" t="s">
        <v>519</v>
      </c>
      <c r="Q28" s="129" t="s">
        <v>519</v>
      </c>
      <c r="R28" s="129" t="s">
        <v>519</v>
      </c>
      <c r="S28" s="129" t="s">
        <v>519</v>
      </c>
      <c r="T28" s="129" t="s">
        <v>519</v>
      </c>
      <c r="U28" s="133" t="s">
        <v>519</v>
      </c>
      <c r="V28" s="150"/>
      <c r="W28" s="45"/>
      <c r="X28" s="45"/>
      <c r="Y28" s="45"/>
      <c r="Z28" s="45"/>
      <c r="AA28" s="45"/>
      <c r="AB28" s="146"/>
      <c r="AC28" s="146"/>
      <c r="AD28" s="146"/>
      <c r="AE28" s="146"/>
      <c r="AF28" s="146"/>
      <c r="AG28" s="146"/>
      <c r="AH28" s="146"/>
      <c r="AI28" s="146"/>
      <c r="AJ28" s="146"/>
      <c r="AK28" s="146"/>
      <c r="AL28" s="146"/>
      <c r="AM28" s="146"/>
      <c r="AN28" s="146"/>
      <c r="AO28" s="146"/>
      <c r="AP28" s="146"/>
      <c r="AQ28" s="146"/>
    </row>
    <row r="29" spans="1:43" s="40" customFormat="1" ht="19.5" customHeight="1">
      <c r="A29" s="193" t="s">
        <v>530</v>
      </c>
      <c r="B29" s="194"/>
      <c r="C29" s="72">
        <f>SUM(C16:C25)</f>
        <v>35.3</v>
      </c>
      <c r="D29" s="73">
        <f>SUM(D16:D25)</f>
        <v>30.291</v>
      </c>
      <c r="E29" s="74">
        <f>H51/D51*100</f>
        <v>85.81019830028329</v>
      </c>
      <c r="F29" s="75">
        <f aca="true" t="shared" si="1" ref="F29:U29">((F$16*$J$41)+(F$17*$J$42)+(F$18*$J$43)+(F$19*$J$44)+(F$20*$J$45)+(F$21*$J$46)+(F$22*$J$47)+(F$23*$J$48)+(F$24*$J$49)+(F$25*$J$50))/100</f>
        <v>51.1042884024958</v>
      </c>
      <c r="G29" s="73">
        <f t="shared" si="1"/>
        <v>51.1042884024958</v>
      </c>
      <c r="H29" s="73">
        <f t="shared" si="1"/>
        <v>14.78987157901687</v>
      </c>
      <c r="I29" s="73">
        <f t="shared" si="1"/>
        <v>50.37800006602622</v>
      </c>
      <c r="J29" s="76">
        <f t="shared" si="1"/>
        <v>10.762272622231025</v>
      </c>
      <c r="K29" s="77">
        <f t="shared" si="1"/>
        <v>29.71179558284639</v>
      </c>
      <c r="L29" s="78">
        <f t="shared" si="1"/>
        <v>36.842626522729525</v>
      </c>
      <c r="M29" s="78">
        <f t="shared" si="1"/>
        <v>44.30358852464428</v>
      </c>
      <c r="N29" s="78">
        <f t="shared" si="1"/>
        <v>61.33835132547622</v>
      </c>
      <c r="O29" s="78">
        <f t="shared" si="1"/>
        <v>93.22901191773133</v>
      </c>
      <c r="P29" s="75">
        <f t="shared" si="1"/>
        <v>1.2875111419233436</v>
      </c>
      <c r="Q29" s="73">
        <f t="shared" si="1"/>
        <v>8.571687960120169</v>
      </c>
      <c r="R29" s="79">
        <f t="shared" si="1"/>
        <v>0.9590637483080784</v>
      </c>
      <c r="S29" s="79">
        <f t="shared" si="1"/>
        <v>0.39952461127067435</v>
      </c>
      <c r="T29" s="79">
        <f t="shared" si="1"/>
        <v>1.380908520682711</v>
      </c>
      <c r="U29" s="80">
        <f t="shared" si="1"/>
        <v>0.19814136212076197</v>
      </c>
      <c r="V29" s="150"/>
      <c r="W29" s="45"/>
      <c r="X29" s="45"/>
      <c r="Y29" s="45"/>
      <c r="Z29" s="45"/>
      <c r="AA29" s="45"/>
      <c r="AB29" s="146"/>
      <c r="AC29" s="146"/>
      <c r="AD29" s="146"/>
      <c r="AE29" s="146"/>
      <c r="AF29" s="146"/>
      <c r="AG29" s="146"/>
      <c r="AH29" s="146"/>
      <c r="AI29" s="146"/>
      <c r="AJ29" s="146"/>
      <c r="AK29" s="146"/>
      <c r="AL29" s="146"/>
      <c r="AM29" s="146"/>
      <c r="AN29" s="146"/>
      <c r="AO29" s="146"/>
      <c r="AP29" s="146"/>
      <c r="AQ29" s="146"/>
    </row>
    <row r="30" spans="1:43" s="40" customFormat="1" ht="19.5" customHeight="1" thickBot="1">
      <c r="A30" s="122" t="s">
        <v>288</v>
      </c>
      <c r="B30" s="81"/>
      <c r="C30" s="195"/>
      <c r="D30" s="82">
        <f>Y41*(AB114)</f>
        <v>28.755741531940593</v>
      </c>
      <c r="E30" s="82"/>
      <c r="F30" s="83">
        <f>W193</f>
        <v>47.3</v>
      </c>
      <c r="G30" s="82">
        <f>(((AB41/100*AC193)+G92)/AC193*100)*X83</f>
        <v>41</v>
      </c>
      <c r="H30" s="82"/>
      <c r="I30" s="82"/>
      <c r="J30" s="84">
        <f>((Y44/100*D30/2.2*1000)+G95)/1000*2.2/D30*100</f>
        <v>6.5299999999999985</v>
      </c>
      <c r="K30" s="85"/>
      <c r="L30" s="82"/>
      <c r="M30" s="82"/>
      <c r="N30" s="82"/>
      <c r="O30" s="82"/>
      <c r="P30" s="83"/>
      <c r="Q30" s="82"/>
      <c r="R30" s="86">
        <f>V100</f>
        <v>0.14995266233042273</v>
      </c>
      <c r="S30" s="86">
        <f>V101</f>
        <v>0.11455512783072778</v>
      </c>
      <c r="T30" s="196" t="s">
        <v>280</v>
      </c>
      <c r="U30" s="197" t="s">
        <v>419</v>
      </c>
      <c r="V30" s="150"/>
      <c r="W30" s="45"/>
      <c r="X30" s="45"/>
      <c r="Y30" s="45"/>
      <c r="Z30" s="45"/>
      <c r="AA30" s="146"/>
      <c r="AB30" s="146"/>
      <c r="AC30" s="146"/>
      <c r="AD30" s="146"/>
      <c r="AE30" s="146"/>
      <c r="AF30" s="146"/>
      <c r="AG30" s="146"/>
      <c r="AH30" s="146"/>
      <c r="AI30" s="146"/>
      <c r="AJ30" s="146"/>
      <c r="AK30" s="146"/>
      <c r="AL30" s="146"/>
      <c r="AM30" s="146"/>
      <c r="AN30" s="146"/>
      <c r="AO30" s="146"/>
      <c r="AP30" s="146"/>
      <c r="AQ30" s="146"/>
    </row>
    <row r="31" spans="1:43" s="40" customFormat="1" ht="15" customHeight="1">
      <c r="A31" s="42"/>
      <c r="B31" s="42"/>
      <c r="C31" s="198"/>
      <c r="D31" s="43"/>
      <c r="E31" s="43"/>
      <c r="F31" s="43"/>
      <c r="G31" s="43"/>
      <c r="H31" s="43"/>
      <c r="I31" s="43"/>
      <c r="J31" s="43"/>
      <c r="K31" s="43"/>
      <c r="L31" s="43"/>
      <c r="M31" s="43"/>
      <c r="N31" s="43"/>
      <c r="O31" s="43"/>
      <c r="P31" s="43"/>
      <c r="Q31" s="43"/>
      <c r="R31" s="44"/>
      <c r="S31" s="44"/>
      <c r="T31" s="198"/>
      <c r="U31" s="198"/>
      <c r="V31" s="45"/>
      <c r="W31" s="45"/>
      <c r="X31" s="45"/>
      <c r="Y31" s="45"/>
      <c r="Z31" s="45"/>
      <c r="AA31" s="146"/>
      <c r="AB31" s="146"/>
      <c r="AC31" s="146"/>
      <c r="AD31" s="146"/>
      <c r="AE31" s="146"/>
      <c r="AF31" s="146"/>
      <c r="AG31" s="146"/>
      <c r="AH31" s="146"/>
      <c r="AI31" s="146"/>
      <c r="AJ31" s="146"/>
      <c r="AK31" s="146"/>
      <c r="AL31" s="146"/>
      <c r="AM31" s="146"/>
      <c r="AN31" s="146"/>
      <c r="AO31" s="146"/>
      <c r="AP31" s="146"/>
      <c r="AQ31" s="146"/>
    </row>
    <row r="32" spans="1:43" s="40" customFormat="1" ht="15" customHeight="1">
      <c r="A32" s="42"/>
      <c r="B32" s="42"/>
      <c r="C32" s="198"/>
      <c r="D32" s="199" t="s">
        <v>304</v>
      </c>
      <c r="E32" s="123"/>
      <c r="F32" s="43"/>
      <c r="G32" s="43"/>
      <c r="H32" s="43"/>
      <c r="I32" s="43"/>
      <c r="J32" s="43"/>
      <c r="K32" s="43"/>
      <c r="L32" s="43"/>
      <c r="M32" s="43"/>
      <c r="N32" s="43"/>
      <c r="O32" s="43"/>
      <c r="P32" s="43"/>
      <c r="Q32" s="43"/>
      <c r="R32" s="44"/>
      <c r="S32" s="44"/>
      <c r="T32" s="198"/>
      <c r="U32" s="198"/>
      <c r="V32" s="45"/>
      <c r="W32" s="45"/>
      <c r="X32" s="45"/>
      <c r="Y32" s="45"/>
      <c r="Z32" s="45"/>
      <c r="AA32" s="146"/>
      <c r="AB32" s="146"/>
      <c r="AC32" s="146"/>
      <c r="AD32" s="146"/>
      <c r="AE32" s="146"/>
      <c r="AF32" s="146"/>
      <c r="AG32" s="146"/>
      <c r="AH32" s="146"/>
      <c r="AI32" s="146"/>
      <c r="AJ32" s="146"/>
      <c r="AK32" s="146"/>
      <c r="AL32" s="146"/>
      <c r="AM32" s="146"/>
      <c r="AN32" s="146"/>
      <c r="AO32" s="146"/>
      <c r="AP32" s="146"/>
      <c r="AQ32" s="146"/>
    </row>
    <row r="33" spans="1:43" s="40" customFormat="1" ht="15" customHeight="1">
      <c r="A33" s="42"/>
      <c r="B33" s="42"/>
      <c r="C33" s="198"/>
      <c r="D33" s="199" t="s">
        <v>305</v>
      </c>
      <c r="E33" s="123"/>
      <c r="F33" s="43"/>
      <c r="G33" s="43"/>
      <c r="H33" s="43"/>
      <c r="I33" s="43"/>
      <c r="J33" s="43"/>
      <c r="K33" s="43"/>
      <c r="L33" s="43"/>
      <c r="M33" s="43"/>
      <c r="N33" s="43"/>
      <c r="O33" s="150"/>
      <c r="P33" s="150"/>
      <c r="Q33" s="43"/>
      <c r="R33" s="44"/>
      <c r="S33" s="44"/>
      <c r="T33" s="198"/>
      <c r="U33" s="198"/>
      <c r="V33" s="45"/>
      <c r="W33" s="45"/>
      <c r="X33" s="45"/>
      <c r="Y33" s="45"/>
      <c r="Z33" s="45"/>
      <c r="AA33" s="146"/>
      <c r="AB33" s="146"/>
      <c r="AC33" s="146"/>
      <c r="AD33" s="146"/>
      <c r="AE33" s="146"/>
      <c r="AF33" s="146"/>
      <c r="AG33" s="146"/>
      <c r="AH33" s="146"/>
      <c r="AI33" s="146"/>
      <c r="AJ33" s="146"/>
      <c r="AK33" s="146"/>
      <c r="AL33" s="146"/>
      <c r="AM33" s="146"/>
      <c r="AN33" s="146"/>
      <c r="AO33" s="146"/>
      <c r="AP33" s="146"/>
      <c r="AQ33" s="146"/>
    </row>
    <row r="34" spans="1:43" s="40" customFormat="1" ht="15" customHeight="1">
      <c r="A34" s="42"/>
      <c r="B34" s="42"/>
      <c r="C34" s="198"/>
      <c r="D34" s="199" t="s">
        <v>294</v>
      </c>
      <c r="E34" s="123"/>
      <c r="F34" s="43"/>
      <c r="G34" s="43"/>
      <c r="H34" s="43"/>
      <c r="I34" s="43"/>
      <c r="J34" s="43"/>
      <c r="K34" s="43"/>
      <c r="L34" s="43"/>
      <c r="M34" s="43"/>
      <c r="N34" s="43"/>
      <c r="O34" s="150"/>
      <c r="P34" s="150"/>
      <c r="Q34" s="43"/>
      <c r="R34" s="44"/>
      <c r="S34" s="44"/>
      <c r="T34" s="198"/>
      <c r="U34" s="198"/>
      <c r="V34" s="45"/>
      <c r="W34" s="45"/>
      <c r="X34" s="45"/>
      <c r="Y34" s="45"/>
      <c r="Z34" s="45"/>
      <c r="AA34" s="146"/>
      <c r="AB34" s="146"/>
      <c r="AC34" s="146"/>
      <c r="AD34" s="146"/>
      <c r="AE34" s="146"/>
      <c r="AF34" s="146"/>
      <c r="AG34" s="146"/>
      <c r="AH34" s="146"/>
      <c r="AI34" s="146"/>
      <c r="AJ34" s="146"/>
      <c r="AK34" s="146"/>
      <c r="AL34" s="146"/>
      <c r="AM34" s="146"/>
      <c r="AN34" s="146"/>
      <c r="AO34" s="146"/>
      <c r="AP34" s="146"/>
      <c r="AQ34" s="146"/>
    </row>
    <row r="35" spans="1:43" s="40" customFormat="1" ht="15" customHeight="1">
      <c r="A35" s="42"/>
      <c r="B35" s="42"/>
      <c r="C35" s="198"/>
      <c r="D35" s="199" t="s">
        <v>295</v>
      </c>
      <c r="E35" s="199"/>
      <c r="F35" s="43"/>
      <c r="G35" s="43"/>
      <c r="H35" s="43"/>
      <c r="I35" s="43"/>
      <c r="J35" s="43"/>
      <c r="K35" s="43"/>
      <c r="L35" s="43"/>
      <c r="M35" s="43"/>
      <c r="N35" s="43"/>
      <c r="O35" s="150"/>
      <c r="P35" s="150"/>
      <c r="Q35" s="43"/>
      <c r="R35" s="44"/>
      <c r="S35" s="44"/>
      <c r="T35" s="198"/>
      <c r="U35" s="198"/>
      <c r="V35" s="45"/>
      <c r="W35" s="45"/>
      <c r="X35" s="45"/>
      <c r="Y35" s="45"/>
      <c r="Z35" s="45"/>
      <c r="AA35" s="146"/>
      <c r="AB35" s="146"/>
      <c r="AC35" s="146"/>
      <c r="AD35" s="146"/>
      <c r="AE35" s="146"/>
      <c r="AF35" s="146"/>
      <c r="AG35" s="146"/>
      <c r="AH35" s="146"/>
      <c r="AI35" s="146"/>
      <c r="AJ35" s="146"/>
      <c r="AK35" s="146"/>
      <c r="AL35" s="146"/>
      <c r="AM35" s="146"/>
      <c r="AN35" s="146"/>
      <c r="AO35" s="146"/>
      <c r="AP35" s="146"/>
      <c r="AQ35" s="146"/>
    </row>
    <row r="36" spans="1:43" s="40" customFormat="1" ht="16.5" customHeight="1">
      <c r="A36" s="45"/>
      <c r="B36" s="45"/>
      <c r="C36" s="200"/>
      <c r="D36" s="201"/>
      <c r="E36" s="202"/>
      <c r="F36" s="200"/>
      <c r="G36" s="200"/>
      <c r="H36" s="200"/>
      <c r="I36" s="200"/>
      <c r="J36" s="200"/>
      <c r="K36" s="200"/>
      <c r="L36" s="200"/>
      <c r="M36" s="200"/>
      <c r="N36" s="200"/>
      <c r="O36" s="200"/>
      <c r="P36" s="203"/>
      <c r="Q36" s="200"/>
      <c r="R36" s="200"/>
      <c r="S36" s="200"/>
      <c r="T36" s="200"/>
      <c r="U36" s="200"/>
      <c r="V36" s="200"/>
      <c r="W36" s="45"/>
      <c r="X36" s="45"/>
      <c r="Y36" s="45"/>
      <c r="Z36" s="146"/>
      <c r="AA36" s="146"/>
      <c r="AB36" s="146"/>
      <c r="AC36" s="146"/>
      <c r="AD36" s="146"/>
      <c r="AE36" s="146"/>
      <c r="AF36" s="146"/>
      <c r="AG36" s="146"/>
      <c r="AH36" s="146"/>
      <c r="AI36" s="146"/>
      <c r="AJ36" s="146"/>
      <c r="AK36" s="146"/>
      <c r="AL36" s="146"/>
      <c r="AM36" s="146"/>
      <c r="AN36" s="146"/>
      <c r="AO36" s="146"/>
      <c r="AP36" s="146"/>
      <c r="AQ36" s="146"/>
    </row>
    <row r="37" spans="1:43" ht="13.5" customHeight="1" hidden="1">
      <c r="A37" s="340" t="s">
        <v>421</v>
      </c>
      <c r="B37" s="340"/>
      <c r="C37" s="340"/>
      <c r="D37" s="340"/>
      <c r="E37" s="340"/>
      <c r="F37" s="340"/>
      <c r="G37" s="340"/>
      <c r="H37" s="340"/>
      <c r="I37" s="340"/>
      <c r="J37" s="340"/>
      <c r="K37" s="340"/>
      <c r="L37" s="340"/>
      <c r="M37" s="340"/>
      <c r="N37" s="340"/>
      <c r="O37" s="340"/>
      <c r="P37" s="340"/>
      <c r="Q37" s="340"/>
      <c r="R37" s="340"/>
      <c r="S37" s="340"/>
      <c r="T37" s="340"/>
      <c r="U37" s="340"/>
      <c r="V37" s="204"/>
      <c r="W37" s="205"/>
      <c r="X37" s="205"/>
      <c r="Y37" s="205"/>
      <c r="Z37" s="205"/>
      <c r="AA37" s="205"/>
      <c r="AB37" s="205"/>
      <c r="AC37" s="205"/>
      <c r="AD37" s="205"/>
      <c r="AE37" s="205"/>
      <c r="AF37" s="205"/>
      <c r="AG37" s="205"/>
      <c r="AH37" s="205"/>
      <c r="AI37" s="205"/>
      <c r="AJ37" s="205"/>
      <c r="AK37" s="205"/>
      <c r="AL37" s="205"/>
      <c r="AM37" s="146"/>
      <c r="AN37" s="146"/>
      <c r="AO37" s="146"/>
      <c r="AP37" s="146"/>
      <c r="AQ37" s="146"/>
    </row>
    <row r="38" spans="1:43" ht="14.25" customHeight="1" hidden="1" thickBot="1">
      <c r="A38" s="329"/>
      <c r="B38" s="329"/>
      <c r="C38" s="329"/>
      <c r="D38" s="329"/>
      <c r="E38" s="329"/>
      <c r="F38" s="329"/>
      <c r="G38" s="329"/>
      <c r="H38" s="329"/>
      <c r="I38" s="329"/>
      <c r="J38" s="329"/>
      <c r="K38" s="329"/>
      <c r="L38" s="329"/>
      <c r="M38" s="329"/>
      <c r="N38" s="329"/>
      <c r="O38" s="329"/>
      <c r="P38" s="329"/>
      <c r="Q38" s="329"/>
      <c r="R38" s="329"/>
      <c r="S38" s="329"/>
      <c r="T38" s="329"/>
      <c r="U38" s="329"/>
      <c r="V38" s="204"/>
      <c r="W38" s="205"/>
      <c r="X38" s="205"/>
      <c r="Y38" s="205"/>
      <c r="Z38" s="205"/>
      <c r="AA38" s="205"/>
      <c r="AB38" s="205"/>
      <c r="AC38" s="205"/>
      <c r="AD38" s="205"/>
      <c r="AE38" s="205"/>
      <c r="AF38" s="205"/>
      <c r="AG38" s="205"/>
      <c r="AH38" s="205"/>
      <c r="AI38" s="205"/>
      <c r="AJ38" s="205"/>
      <c r="AK38" s="205"/>
      <c r="AL38" s="146"/>
      <c r="AM38" s="146"/>
      <c r="AN38" s="146"/>
      <c r="AO38" s="146"/>
      <c r="AP38" s="146"/>
      <c r="AQ38" s="146"/>
    </row>
    <row r="39" spans="1:43" ht="17.25" hidden="1" thickBot="1">
      <c r="A39" s="21" t="s">
        <v>411</v>
      </c>
      <c r="B39" s="21"/>
      <c r="C39" s="20"/>
      <c r="D39" s="334" t="s">
        <v>523</v>
      </c>
      <c r="E39" s="334"/>
      <c r="F39" s="334" t="s">
        <v>529</v>
      </c>
      <c r="G39" s="334"/>
      <c r="H39" s="334" t="s">
        <v>523</v>
      </c>
      <c r="I39" s="334"/>
      <c r="J39" s="334" t="s">
        <v>529</v>
      </c>
      <c r="K39" s="334"/>
      <c r="L39" s="334" t="s">
        <v>524</v>
      </c>
      <c r="M39" s="334"/>
      <c r="N39" s="342" t="s">
        <v>524</v>
      </c>
      <c r="O39" s="342"/>
      <c r="P39" s="342" t="s">
        <v>416</v>
      </c>
      <c r="Q39" s="342"/>
      <c r="R39" s="342" t="s">
        <v>524</v>
      </c>
      <c r="S39" s="342"/>
      <c r="T39" s="334" t="s">
        <v>524</v>
      </c>
      <c r="U39" s="334"/>
      <c r="V39" s="204"/>
      <c r="W39" s="205"/>
      <c r="X39" s="341" t="s">
        <v>155</v>
      </c>
      <c r="Y39" s="341"/>
      <c r="Z39" s="341"/>
      <c r="AA39" s="341"/>
      <c r="AB39" s="341"/>
      <c r="AC39" s="205"/>
      <c r="AD39" s="205"/>
      <c r="AE39" s="205"/>
      <c r="AF39" s="205"/>
      <c r="AG39" s="205"/>
      <c r="AH39" s="205"/>
      <c r="AI39" s="205"/>
      <c r="AJ39" s="205"/>
      <c r="AK39" s="205"/>
      <c r="AL39" s="146"/>
      <c r="AM39" s="146"/>
      <c r="AN39" s="146"/>
      <c r="AO39" s="146"/>
      <c r="AP39" s="146"/>
      <c r="AQ39" s="146"/>
    </row>
    <row r="40" spans="1:43" ht="17.25" hidden="1" thickBot="1">
      <c r="A40" s="206"/>
      <c r="B40" s="206"/>
      <c r="C40" s="207"/>
      <c r="D40" s="329" t="s">
        <v>527</v>
      </c>
      <c r="E40" s="329"/>
      <c r="F40" s="329" t="s">
        <v>527</v>
      </c>
      <c r="G40" s="329"/>
      <c r="H40" s="329" t="s">
        <v>528</v>
      </c>
      <c r="I40" s="329"/>
      <c r="J40" s="329" t="s">
        <v>528</v>
      </c>
      <c r="K40" s="329"/>
      <c r="L40" s="329" t="s">
        <v>525</v>
      </c>
      <c r="M40" s="329"/>
      <c r="N40" s="343" t="s">
        <v>415</v>
      </c>
      <c r="O40" s="343"/>
      <c r="P40" s="343" t="s">
        <v>417</v>
      </c>
      <c r="Q40" s="343"/>
      <c r="R40" s="343" t="s">
        <v>418</v>
      </c>
      <c r="S40" s="343"/>
      <c r="T40" s="329" t="s">
        <v>526</v>
      </c>
      <c r="U40" s="329"/>
      <c r="V40" s="204"/>
      <c r="W40" s="205"/>
      <c r="X40" s="208" t="s">
        <v>322</v>
      </c>
      <c r="Y40" s="209"/>
      <c r="Z40" s="209"/>
      <c r="AA40" s="208" t="s">
        <v>408</v>
      </c>
      <c r="AB40" s="209"/>
      <c r="AC40" s="205"/>
      <c r="AD40" s="205"/>
      <c r="AE40" s="205"/>
      <c r="AF40" s="205"/>
      <c r="AG40" s="205"/>
      <c r="AH40" s="205"/>
      <c r="AI40" s="205"/>
      <c r="AJ40" s="205"/>
      <c r="AK40" s="205"/>
      <c r="AL40" s="146"/>
      <c r="AM40" s="146"/>
      <c r="AN40" s="146"/>
      <c r="AO40" s="146"/>
      <c r="AP40" s="146"/>
      <c r="AQ40" s="146"/>
    </row>
    <row r="41" spans="1:43" ht="16.5" hidden="1">
      <c r="A41" s="210" t="str">
        <f aca="true" t="shared" si="2" ref="A41:A50">A16</f>
        <v>Alfalfa Hay Mature</v>
      </c>
      <c r="B41" s="210"/>
      <c r="C41" s="211"/>
      <c r="D41" s="347">
        <f aca="true" t="shared" si="3" ref="D41:D50">C16</f>
        <v>25</v>
      </c>
      <c r="E41" s="347"/>
      <c r="F41" s="348">
        <f aca="true" t="shared" si="4" ref="F41:F50">D41/($D$41+$D$42+$D$43+$D$44+$D$45+$D$46+$D$47+$D$48+$D$49+$D$50)*100</f>
        <v>70.8215297450425</v>
      </c>
      <c r="G41" s="348"/>
      <c r="H41" s="347">
        <f aca="true" t="shared" si="5" ref="H41:H50">D41*E16/100</f>
        <v>22</v>
      </c>
      <c r="I41" s="347"/>
      <c r="J41" s="348">
        <f aca="true" t="shared" si="6" ref="J41:J50">H41/($H$41+H$42+H$43+H$44+H$45+H$46+H$47+H$48+H$49+H$50)*100</f>
        <v>72.62883364695784</v>
      </c>
      <c r="K41" s="348"/>
      <c r="L41" s="342" t="e">
        <f>#REF!</f>
        <v>#REF!</v>
      </c>
      <c r="M41" s="342"/>
      <c r="N41" s="342" t="e">
        <f aca="true" t="shared" si="7" ref="N41:N50">L41/E16*100</f>
        <v>#REF!</v>
      </c>
      <c r="O41" s="342"/>
      <c r="P41" s="342" t="e">
        <f aca="true" t="shared" si="8" ref="P41:P50">N41/(J16*20)</f>
        <v>#REF!</v>
      </c>
      <c r="Q41" s="342"/>
      <c r="R41" s="342" t="e">
        <f aca="true" t="shared" si="9" ref="R41:R50">N41/(H16*20)*100</f>
        <v>#REF!</v>
      </c>
      <c r="S41" s="342"/>
      <c r="T41" s="342" t="e">
        <f aca="true" t="shared" si="10" ref="T41:T50">(L41/2000)*D41</f>
        <v>#REF!</v>
      </c>
      <c r="U41" s="342"/>
      <c r="V41" s="204"/>
      <c r="W41" s="205"/>
      <c r="X41" s="212" t="s">
        <v>154</v>
      </c>
      <c r="Y41" s="213">
        <f>IF(AC96=1,AC86,AC85)</f>
        <v>26.87452479620616</v>
      </c>
      <c r="Z41" s="212"/>
      <c r="AA41" s="212" t="s">
        <v>154</v>
      </c>
      <c r="AB41" s="212">
        <f>X193</f>
        <v>41</v>
      </c>
      <c r="AC41" s="205"/>
      <c r="AD41" s="205"/>
      <c r="AE41" s="205"/>
      <c r="AF41" s="205"/>
      <c r="AG41" s="205"/>
      <c r="AH41" s="205"/>
      <c r="AI41" s="205"/>
      <c r="AJ41" s="205"/>
      <c r="AK41" s="205"/>
      <c r="AL41" s="146"/>
      <c r="AM41" s="146"/>
      <c r="AN41" s="146"/>
      <c r="AO41" s="146"/>
      <c r="AP41" s="146"/>
      <c r="AQ41" s="146"/>
    </row>
    <row r="42" spans="1:43" ht="16.5" hidden="1">
      <c r="A42" s="214" t="str">
        <f t="shared" si="2"/>
        <v>Corn Stover Mature (Stalks)</v>
      </c>
      <c r="B42" s="214"/>
      <c r="C42" s="215"/>
      <c r="D42" s="350">
        <f t="shared" si="3"/>
        <v>10</v>
      </c>
      <c r="E42" s="350"/>
      <c r="F42" s="352">
        <f t="shared" si="4"/>
        <v>28.328611898016998</v>
      </c>
      <c r="G42" s="352"/>
      <c r="H42" s="350">
        <f t="shared" si="5"/>
        <v>8</v>
      </c>
      <c r="I42" s="350"/>
      <c r="J42" s="352">
        <f t="shared" si="6"/>
        <v>26.410484962530123</v>
      </c>
      <c r="K42" s="352"/>
      <c r="L42" s="345" t="e">
        <f>#REF!</f>
        <v>#REF!</v>
      </c>
      <c r="M42" s="345"/>
      <c r="N42" s="345" t="e">
        <f t="shared" si="7"/>
        <v>#REF!</v>
      </c>
      <c r="O42" s="345"/>
      <c r="P42" s="345" t="e">
        <f t="shared" si="8"/>
        <v>#REF!</v>
      </c>
      <c r="Q42" s="345"/>
      <c r="R42" s="345" t="e">
        <f t="shared" si="9"/>
        <v>#REF!</v>
      </c>
      <c r="S42" s="345"/>
      <c r="T42" s="345" t="e">
        <f t="shared" si="10"/>
        <v>#REF!</v>
      </c>
      <c r="U42" s="345"/>
      <c r="V42" s="204"/>
      <c r="W42" s="205" t="s">
        <v>420</v>
      </c>
      <c r="X42" s="205"/>
      <c r="Y42" s="216"/>
      <c r="Z42" s="205"/>
      <c r="AA42" s="205"/>
      <c r="AB42" s="205"/>
      <c r="AC42" s="205"/>
      <c r="AD42" s="205"/>
      <c r="AE42" s="205"/>
      <c r="AF42" s="205"/>
      <c r="AG42" s="205"/>
      <c r="AH42" s="205"/>
      <c r="AI42" s="205"/>
      <c r="AJ42" s="205"/>
      <c r="AK42" s="205"/>
      <c r="AL42" s="146"/>
      <c r="AM42" s="146"/>
      <c r="AN42" s="146"/>
      <c r="AO42" s="146"/>
      <c r="AP42" s="146"/>
      <c r="AQ42" s="146"/>
    </row>
    <row r="43" spans="1:43" ht="16.5" hidden="1">
      <c r="A43" s="210" t="str">
        <f t="shared" si="2"/>
        <v>Commercial Supplement, Mineral, High Phos</v>
      </c>
      <c r="B43" s="210"/>
      <c r="C43" s="211"/>
      <c r="D43" s="351">
        <f t="shared" si="3"/>
        <v>0.3</v>
      </c>
      <c r="E43" s="351"/>
      <c r="F43" s="349">
        <f t="shared" si="4"/>
        <v>0.84985835694051</v>
      </c>
      <c r="G43" s="349"/>
      <c r="H43" s="351">
        <f t="shared" si="5"/>
        <v>0.291</v>
      </c>
      <c r="I43" s="351"/>
      <c r="J43" s="349">
        <f t="shared" si="6"/>
        <v>0.9606813905120332</v>
      </c>
      <c r="K43" s="349"/>
      <c r="L43" s="344" t="e">
        <f>#REF!</f>
        <v>#REF!</v>
      </c>
      <c r="M43" s="344"/>
      <c r="N43" s="344" t="e">
        <f t="shared" si="7"/>
        <v>#REF!</v>
      </c>
      <c r="O43" s="344"/>
      <c r="P43" s="344" t="e">
        <f t="shared" si="8"/>
        <v>#REF!</v>
      </c>
      <c r="Q43" s="344"/>
      <c r="R43" s="344" t="e">
        <f t="shared" si="9"/>
        <v>#REF!</v>
      </c>
      <c r="S43" s="344"/>
      <c r="T43" s="344" t="e">
        <f t="shared" si="10"/>
        <v>#REF!</v>
      </c>
      <c r="U43" s="344"/>
      <c r="V43" s="204"/>
      <c r="W43" s="205"/>
      <c r="X43" s="212" t="s">
        <v>511</v>
      </c>
      <c r="Y43" s="212"/>
      <c r="Z43" s="205"/>
      <c r="AA43" s="205"/>
      <c r="AB43" s="205"/>
      <c r="AC43" s="205"/>
      <c r="AD43" s="205"/>
      <c r="AE43" s="205"/>
      <c r="AF43" s="205"/>
      <c r="AG43" s="205"/>
      <c r="AH43" s="205"/>
      <c r="AI43" s="205"/>
      <c r="AJ43" s="205"/>
      <c r="AK43" s="205"/>
      <c r="AL43" s="146"/>
      <c r="AM43" s="146"/>
      <c r="AN43" s="146"/>
      <c r="AO43" s="146"/>
      <c r="AP43" s="146"/>
      <c r="AQ43" s="146"/>
    </row>
    <row r="44" spans="1:43" ht="16.5" hidden="1">
      <c r="A44" s="214">
        <f t="shared" si="2"/>
        <v>0</v>
      </c>
      <c r="B44" s="214"/>
      <c r="C44" s="215"/>
      <c r="D44" s="350">
        <f t="shared" si="3"/>
        <v>0</v>
      </c>
      <c r="E44" s="350"/>
      <c r="F44" s="352">
        <f t="shared" si="4"/>
        <v>0</v>
      </c>
      <c r="G44" s="352"/>
      <c r="H44" s="350">
        <f t="shared" si="5"/>
        <v>0</v>
      </c>
      <c r="I44" s="350"/>
      <c r="J44" s="352">
        <f t="shared" si="6"/>
        <v>0</v>
      </c>
      <c r="K44" s="352"/>
      <c r="L44" s="345" t="e">
        <f>#REF!</f>
        <v>#REF!</v>
      </c>
      <c r="M44" s="345"/>
      <c r="N44" s="345" t="e">
        <f t="shared" si="7"/>
        <v>#REF!</v>
      </c>
      <c r="O44" s="345"/>
      <c r="P44" s="345" t="e">
        <f t="shared" si="8"/>
        <v>#REF!</v>
      </c>
      <c r="Q44" s="345"/>
      <c r="R44" s="345" t="e">
        <f t="shared" si="9"/>
        <v>#REF!</v>
      </c>
      <c r="S44" s="345"/>
      <c r="T44" s="345" t="e">
        <f t="shared" si="10"/>
        <v>#REF!</v>
      </c>
      <c r="U44" s="345"/>
      <c r="V44" s="204"/>
      <c r="W44" s="205"/>
      <c r="X44" s="212" t="s">
        <v>154</v>
      </c>
      <c r="Y44" s="212">
        <f>Y193</f>
        <v>6.53</v>
      </c>
      <c r="Z44" s="205"/>
      <c r="AA44" s="205"/>
      <c r="AB44" s="205"/>
      <c r="AC44" s="205"/>
      <c r="AD44" s="205"/>
      <c r="AE44" s="205"/>
      <c r="AF44" s="205"/>
      <c r="AG44" s="205"/>
      <c r="AH44" s="205"/>
      <c r="AI44" s="205"/>
      <c r="AJ44" s="205"/>
      <c r="AK44" s="205"/>
      <c r="AL44" s="146"/>
      <c r="AM44" s="146"/>
      <c r="AN44" s="146"/>
      <c r="AO44" s="146"/>
      <c r="AP44" s="146"/>
      <c r="AQ44" s="146"/>
    </row>
    <row r="45" spans="1:43" ht="16.5" hidden="1">
      <c r="A45" s="210">
        <f t="shared" si="2"/>
        <v>0</v>
      </c>
      <c r="B45" s="210"/>
      <c r="C45" s="211"/>
      <c r="D45" s="351">
        <f t="shared" si="3"/>
        <v>0</v>
      </c>
      <c r="E45" s="351"/>
      <c r="F45" s="349">
        <f t="shared" si="4"/>
        <v>0</v>
      </c>
      <c r="G45" s="349"/>
      <c r="H45" s="351">
        <f t="shared" si="5"/>
        <v>0</v>
      </c>
      <c r="I45" s="351"/>
      <c r="J45" s="349">
        <f t="shared" si="6"/>
        <v>0</v>
      </c>
      <c r="K45" s="349"/>
      <c r="L45" s="344" t="e">
        <f>#REF!</f>
        <v>#REF!</v>
      </c>
      <c r="M45" s="344"/>
      <c r="N45" s="344" t="e">
        <f t="shared" si="7"/>
        <v>#REF!</v>
      </c>
      <c r="O45" s="344"/>
      <c r="P45" s="344" t="e">
        <f t="shared" si="8"/>
        <v>#REF!</v>
      </c>
      <c r="Q45" s="344"/>
      <c r="R45" s="344" t="e">
        <f t="shared" si="9"/>
        <v>#REF!</v>
      </c>
      <c r="S45" s="344"/>
      <c r="T45" s="344" t="e">
        <f t="shared" si="10"/>
        <v>#REF!</v>
      </c>
      <c r="U45" s="344"/>
      <c r="V45" s="204"/>
      <c r="W45" s="205"/>
      <c r="X45" s="205"/>
      <c r="Y45" s="205"/>
      <c r="Z45" s="205"/>
      <c r="AA45" s="205"/>
      <c r="AB45" s="205"/>
      <c r="AC45" s="205"/>
      <c r="AD45" s="205"/>
      <c r="AE45" s="205"/>
      <c r="AF45" s="205"/>
      <c r="AG45" s="205"/>
      <c r="AH45" s="205"/>
      <c r="AI45" s="205"/>
      <c r="AJ45" s="205"/>
      <c r="AK45" s="205"/>
      <c r="AL45" s="146"/>
      <c r="AM45" s="146"/>
      <c r="AN45" s="146"/>
      <c r="AO45" s="146"/>
      <c r="AP45" s="146"/>
      <c r="AQ45" s="146"/>
    </row>
    <row r="46" spans="1:43" ht="16.5" hidden="1">
      <c r="A46" s="214">
        <f t="shared" si="2"/>
        <v>0</v>
      </c>
      <c r="B46" s="214"/>
      <c r="C46" s="215"/>
      <c r="D46" s="350">
        <f t="shared" si="3"/>
        <v>0</v>
      </c>
      <c r="E46" s="350"/>
      <c r="F46" s="352">
        <f t="shared" si="4"/>
        <v>0</v>
      </c>
      <c r="G46" s="352"/>
      <c r="H46" s="350">
        <f t="shared" si="5"/>
        <v>0</v>
      </c>
      <c r="I46" s="350"/>
      <c r="J46" s="352">
        <f t="shared" si="6"/>
        <v>0</v>
      </c>
      <c r="K46" s="352"/>
      <c r="L46" s="345" t="e">
        <f>#REF!</f>
        <v>#REF!</v>
      </c>
      <c r="M46" s="345"/>
      <c r="N46" s="345" t="e">
        <f t="shared" si="7"/>
        <v>#REF!</v>
      </c>
      <c r="O46" s="345"/>
      <c r="P46" s="345" t="e">
        <f t="shared" si="8"/>
        <v>#REF!</v>
      </c>
      <c r="Q46" s="345"/>
      <c r="R46" s="345" t="e">
        <f t="shared" si="9"/>
        <v>#REF!</v>
      </c>
      <c r="S46" s="345"/>
      <c r="T46" s="345" t="e">
        <f t="shared" si="10"/>
        <v>#REF!</v>
      </c>
      <c r="U46" s="345"/>
      <c r="V46" s="204"/>
      <c r="W46" s="205"/>
      <c r="X46" s="205"/>
      <c r="Y46" s="205"/>
      <c r="Z46" s="205"/>
      <c r="AA46" s="205"/>
      <c r="AB46" s="205"/>
      <c r="AC46" s="205"/>
      <c r="AD46" s="205"/>
      <c r="AE46" s="205"/>
      <c r="AF46" s="205"/>
      <c r="AG46" s="205"/>
      <c r="AH46" s="205"/>
      <c r="AI46" s="205"/>
      <c r="AJ46" s="205"/>
      <c r="AK46" s="205"/>
      <c r="AL46" s="146"/>
      <c r="AM46" s="146"/>
      <c r="AN46" s="146"/>
      <c r="AO46" s="146"/>
      <c r="AP46" s="146"/>
      <c r="AQ46" s="146"/>
    </row>
    <row r="47" spans="1:43" ht="16.5" hidden="1">
      <c r="A47" s="210">
        <f t="shared" si="2"/>
        <v>0</v>
      </c>
      <c r="B47" s="210"/>
      <c r="C47" s="211"/>
      <c r="D47" s="351">
        <f t="shared" si="3"/>
        <v>0</v>
      </c>
      <c r="E47" s="351"/>
      <c r="F47" s="349">
        <f t="shared" si="4"/>
        <v>0</v>
      </c>
      <c r="G47" s="349"/>
      <c r="H47" s="351">
        <f t="shared" si="5"/>
        <v>0</v>
      </c>
      <c r="I47" s="351"/>
      <c r="J47" s="349">
        <f t="shared" si="6"/>
        <v>0</v>
      </c>
      <c r="K47" s="349"/>
      <c r="L47" s="344" t="e">
        <f>#REF!</f>
        <v>#REF!</v>
      </c>
      <c r="M47" s="344"/>
      <c r="N47" s="344" t="e">
        <f t="shared" si="7"/>
        <v>#REF!</v>
      </c>
      <c r="O47" s="344"/>
      <c r="P47" s="344" t="e">
        <f t="shared" si="8"/>
        <v>#REF!</v>
      </c>
      <c r="Q47" s="344"/>
      <c r="R47" s="344" t="e">
        <f t="shared" si="9"/>
        <v>#REF!</v>
      </c>
      <c r="S47" s="344"/>
      <c r="T47" s="344" t="e">
        <f t="shared" si="10"/>
        <v>#REF!</v>
      </c>
      <c r="U47" s="344"/>
      <c r="V47" s="204"/>
      <c r="W47" s="205"/>
      <c r="X47" s="205"/>
      <c r="Y47" s="205"/>
      <c r="Z47" s="205"/>
      <c r="AA47" s="205"/>
      <c r="AB47" s="205"/>
      <c r="AC47" s="205"/>
      <c r="AD47" s="205"/>
      <c r="AE47" s="205"/>
      <c r="AF47" s="205"/>
      <c r="AG47" s="205"/>
      <c r="AH47" s="205"/>
      <c r="AI47" s="205"/>
      <c r="AJ47" s="205"/>
      <c r="AK47" s="205"/>
      <c r="AL47" s="146"/>
      <c r="AM47" s="146"/>
      <c r="AN47" s="146"/>
      <c r="AO47" s="146"/>
      <c r="AP47" s="146"/>
      <c r="AQ47" s="146"/>
    </row>
    <row r="48" spans="1:43" ht="16.5" hidden="1">
      <c r="A48" s="214">
        <f t="shared" si="2"/>
        <v>0</v>
      </c>
      <c r="B48" s="214"/>
      <c r="C48" s="215"/>
      <c r="D48" s="350">
        <f t="shared" si="3"/>
        <v>0</v>
      </c>
      <c r="E48" s="350"/>
      <c r="F48" s="352">
        <f t="shared" si="4"/>
        <v>0</v>
      </c>
      <c r="G48" s="352"/>
      <c r="H48" s="350">
        <f t="shared" si="5"/>
        <v>0</v>
      </c>
      <c r="I48" s="350"/>
      <c r="J48" s="352">
        <f t="shared" si="6"/>
        <v>0</v>
      </c>
      <c r="K48" s="352"/>
      <c r="L48" s="345" t="e">
        <f>#REF!</f>
        <v>#REF!</v>
      </c>
      <c r="M48" s="345"/>
      <c r="N48" s="345" t="e">
        <f t="shared" si="7"/>
        <v>#REF!</v>
      </c>
      <c r="O48" s="345"/>
      <c r="P48" s="345" t="e">
        <f t="shared" si="8"/>
        <v>#REF!</v>
      </c>
      <c r="Q48" s="345"/>
      <c r="R48" s="345" t="e">
        <f t="shared" si="9"/>
        <v>#REF!</v>
      </c>
      <c r="S48" s="345"/>
      <c r="T48" s="345" t="e">
        <f t="shared" si="10"/>
        <v>#REF!</v>
      </c>
      <c r="U48" s="345"/>
      <c r="V48" s="204"/>
      <c r="W48" s="205"/>
      <c r="X48" s="205"/>
      <c r="Y48" s="205"/>
      <c r="Z48" s="205"/>
      <c r="AA48" s="205"/>
      <c r="AB48" s="205"/>
      <c r="AC48" s="205"/>
      <c r="AD48" s="205"/>
      <c r="AE48" s="205"/>
      <c r="AF48" s="205"/>
      <c r="AG48" s="205"/>
      <c r="AH48" s="205"/>
      <c r="AI48" s="205"/>
      <c r="AJ48" s="205"/>
      <c r="AK48" s="205"/>
      <c r="AL48" s="146"/>
      <c r="AM48" s="146"/>
      <c r="AN48" s="146"/>
      <c r="AO48" s="146"/>
      <c r="AP48" s="146"/>
      <c r="AQ48" s="146"/>
    </row>
    <row r="49" spans="1:43" ht="16.5" hidden="1">
      <c r="A49" s="210">
        <f t="shared" si="2"/>
        <v>0</v>
      </c>
      <c r="B49" s="210"/>
      <c r="C49" s="211"/>
      <c r="D49" s="351">
        <f t="shared" si="3"/>
        <v>0</v>
      </c>
      <c r="E49" s="351"/>
      <c r="F49" s="349">
        <f t="shared" si="4"/>
        <v>0</v>
      </c>
      <c r="G49" s="349"/>
      <c r="H49" s="351">
        <f t="shared" si="5"/>
        <v>0</v>
      </c>
      <c r="I49" s="351"/>
      <c r="J49" s="349">
        <f t="shared" si="6"/>
        <v>0</v>
      </c>
      <c r="K49" s="349"/>
      <c r="L49" s="344" t="e">
        <f>#REF!</f>
        <v>#REF!</v>
      </c>
      <c r="M49" s="344"/>
      <c r="N49" s="344" t="e">
        <f t="shared" si="7"/>
        <v>#REF!</v>
      </c>
      <c r="O49" s="344"/>
      <c r="P49" s="344" t="e">
        <f t="shared" si="8"/>
        <v>#REF!</v>
      </c>
      <c r="Q49" s="344"/>
      <c r="R49" s="344" t="e">
        <f t="shared" si="9"/>
        <v>#REF!</v>
      </c>
      <c r="S49" s="344"/>
      <c r="T49" s="344" t="e">
        <f t="shared" si="10"/>
        <v>#REF!</v>
      </c>
      <c r="U49" s="344"/>
      <c r="V49" s="204"/>
      <c r="W49" s="205"/>
      <c r="X49" s="205"/>
      <c r="Y49" s="205"/>
      <c r="Z49" s="205"/>
      <c r="AA49" s="205"/>
      <c r="AB49" s="205"/>
      <c r="AC49" s="205"/>
      <c r="AD49" s="205"/>
      <c r="AE49" s="205"/>
      <c r="AF49" s="205"/>
      <c r="AG49" s="205"/>
      <c r="AH49" s="146"/>
      <c r="AI49" s="146"/>
      <c r="AJ49" s="146"/>
      <c r="AK49" s="146"/>
      <c r="AL49" s="146"/>
      <c r="AM49" s="146"/>
      <c r="AN49" s="146"/>
      <c r="AO49" s="146"/>
      <c r="AP49" s="146"/>
      <c r="AQ49" s="146"/>
    </row>
    <row r="50" spans="1:43" ht="17.25" hidden="1" thickBot="1">
      <c r="A50" s="206">
        <f t="shared" si="2"/>
        <v>0</v>
      </c>
      <c r="B50" s="206"/>
      <c r="C50" s="163"/>
      <c r="D50" s="353">
        <f t="shared" si="3"/>
        <v>0</v>
      </c>
      <c r="E50" s="353"/>
      <c r="F50" s="356">
        <f t="shared" si="4"/>
        <v>0</v>
      </c>
      <c r="G50" s="356"/>
      <c r="H50" s="353">
        <f t="shared" si="5"/>
        <v>0</v>
      </c>
      <c r="I50" s="353"/>
      <c r="J50" s="356">
        <f t="shared" si="6"/>
        <v>0</v>
      </c>
      <c r="K50" s="356"/>
      <c r="L50" s="343" t="e">
        <f>#REF!</f>
        <v>#REF!</v>
      </c>
      <c r="M50" s="343"/>
      <c r="N50" s="343" t="e">
        <f t="shared" si="7"/>
        <v>#REF!</v>
      </c>
      <c r="O50" s="343"/>
      <c r="P50" s="343" t="e">
        <f t="shared" si="8"/>
        <v>#REF!</v>
      </c>
      <c r="Q50" s="343"/>
      <c r="R50" s="343" t="e">
        <f t="shared" si="9"/>
        <v>#REF!</v>
      </c>
      <c r="S50" s="343"/>
      <c r="T50" s="343" t="e">
        <f t="shared" si="10"/>
        <v>#REF!</v>
      </c>
      <c r="U50" s="343"/>
      <c r="V50" s="204"/>
      <c r="W50" s="205"/>
      <c r="X50" s="205"/>
      <c r="Y50" s="205"/>
      <c r="Z50" s="205"/>
      <c r="AA50" s="205"/>
      <c r="AB50" s="146"/>
      <c r="AC50" s="146"/>
      <c r="AD50" s="146"/>
      <c r="AE50" s="146"/>
      <c r="AF50" s="146"/>
      <c r="AG50" s="146"/>
      <c r="AH50" s="146"/>
      <c r="AI50" s="146"/>
      <c r="AJ50" s="146"/>
      <c r="AK50" s="146"/>
      <c r="AL50" s="146"/>
      <c r="AM50" s="146"/>
      <c r="AN50" s="146"/>
      <c r="AO50" s="146"/>
      <c r="AP50" s="146"/>
      <c r="AQ50" s="146"/>
    </row>
    <row r="51" spans="1:43" ht="16.5" hidden="1">
      <c r="A51" s="210" t="s">
        <v>412</v>
      </c>
      <c r="B51" s="210"/>
      <c r="C51" s="217"/>
      <c r="D51" s="354">
        <f>SUM(D41:E50)</f>
        <v>35.3</v>
      </c>
      <c r="E51" s="354"/>
      <c r="F51" s="355">
        <f>SUM(F41:G50)</f>
        <v>100.00000000000001</v>
      </c>
      <c r="G51" s="355"/>
      <c r="H51" s="354">
        <f>SUM(H41:I50)</f>
        <v>30.291</v>
      </c>
      <c r="I51" s="354"/>
      <c r="J51" s="355">
        <f>SUM(J41:K50)</f>
        <v>100</v>
      </c>
      <c r="K51" s="355"/>
      <c r="L51" s="346" t="e">
        <f>((F41*L41)+(F42*L42)+(F43*L43)+(F44*L44)+(F45*L45)+(F46*L46)+(F47*L47)+(F48*L48)+(F49*L49)+(F50*L50))/100</f>
        <v>#REF!</v>
      </c>
      <c r="M51" s="346"/>
      <c r="N51" s="346" t="e">
        <f>L51/E29*100</f>
        <v>#REF!</v>
      </c>
      <c r="O51" s="346"/>
      <c r="P51" s="211"/>
      <c r="Q51" s="211"/>
      <c r="R51" s="211"/>
      <c r="S51" s="211"/>
      <c r="T51" s="346" t="e">
        <f>SUM(T41:T50)</f>
        <v>#REF!</v>
      </c>
      <c r="U51" s="346"/>
      <c r="V51" s="204"/>
      <c r="W51" s="218" t="s">
        <v>153</v>
      </c>
      <c r="X51" s="218"/>
      <c r="Y51" s="218"/>
      <c r="Z51" s="218"/>
      <c r="AA51" s="219" t="s">
        <v>258</v>
      </c>
      <c r="AB51" s="220"/>
      <c r="AC51" s="221"/>
      <c r="AD51" s="221"/>
      <c r="AE51" s="221"/>
      <c r="AF51" s="221"/>
      <c r="AG51" s="146"/>
      <c r="AH51" s="146"/>
      <c r="AI51" s="146"/>
      <c r="AJ51" s="146"/>
      <c r="AK51" s="146"/>
      <c r="AL51" s="146"/>
      <c r="AM51" s="146"/>
      <c r="AN51" s="146"/>
      <c r="AO51" s="146"/>
      <c r="AP51" s="146"/>
      <c r="AQ51" s="146"/>
    </row>
    <row r="52" spans="1:43" ht="16.5" hidden="1">
      <c r="A52" s="204"/>
      <c r="B52" s="204"/>
      <c r="C52" s="204"/>
      <c r="D52" s="204"/>
      <c r="E52" s="204"/>
      <c r="F52" s="204"/>
      <c r="G52" s="204"/>
      <c r="H52" s="204"/>
      <c r="I52" s="204"/>
      <c r="J52" s="204"/>
      <c r="K52" s="204"/>
      <c r="L52" s="204"/>
      <c r="M52" s="204"/>
      <c r="N52" s="204"/>
      <c r="O52" s="204"/>
      <c r="P52" s="204"/>
      <c r="Q52" s="204"/>
      <c r="R52" s="204"/>
      <c r="S52" s="204"/>
      <c r="T52" s="204"/>
      <c r="U52" s="204"/>
      <c r="V52" s="204"/>
      <c r="W52" s="218"/>
      <c r="X52" s="218" t="s">
        <v>220</v>
      </c>
      <c r="Y52" s="218" t="s">
        <v>218</v>
      </c>
      <c r="Z52" s="218" t="s">
        <v>219</v>
      </c>
      <c r="AA52" s="219" t="s">
        <v>259</v>
      </c>
      <c r="AB52" s="219" t="s">
        <v>260</v>
      </c>
      <c r="AC52" s="222" t="s">
        <v>261</v>
      </c>
      <c r="AD52" s="221"/>
      <c r="AE52" s="221"/>
      <c r="AF52" s="221"/>
      <c r="AG52" s="146"/>
      <c r="AH52" s="146"/>
      <c r="AI52" s="146"/>
      <c r="AJ52" s="146"/>
      <c r="AK52" s="146"/>
      <c r="AL52" s="146"/>
      <c r="AM52" s="146"/>
      <c r="AN52" s="146"/>
      <c r="AO52" s="146"/>
      <c r="AP52" s="146"/>
      <c r="AQ52" s="146"/>
    </row>
    <row r="53" spans="1:43" ht="16.5" hidden="1">
      <c r="A53" s="204"/>
      <c r="B53" s="204"/>
      <c r="C53" s="204"/>
      <c r="D53" s="204"/>
      <c r="E53" s="204"/>
      <c r="F53" s="204"/>
      <c r="G53" s="204"/>
      <c r="H53" s="204"/>
      <c r="I53" s="204"/>
      <c r="J53" s="204"/>
      <c r="K53" s="204"/>
      <c r="L53" s="204"/>
      <c r="M53" s="204"/>
      <c r="N53" s="204"/>
      <c r="O53" s="204"/>
      <c r="P53" s="204"/>
      <c r="Q53" s="204"/>
      <c r="R53" s="204"/>
      <c r="S53" s="204"/>
      <c r="T53" s="204"/>
      <c r="U53" s="204"/>
      <c r="V53" s="204"/>
      <c r="W53" s="223" t="s">
        <v>217</v>
      </c>
      <c r="X53" s="223">
        <v>1</v>
      </c>
      <c r="Y53" s="223">
        <f>IF($P$10=W53,X53,0)</f>
        <v>0</v>
      </c>
      <c r="Z53" s="223">
        <v>0</v>
      </c>
      <c r="AA53" s="224">
        <v>35.8</v>
      </c>
      <c r="AB53" s="224">
        <v>0</v>
      </c>
      <c r="AC53" s="225">
        <v>0</v>
      </c>
      <c r="AD53" s="221"/>
      <c r="AE53" s="221"/>
      <c r="AF53" s="221"/>
      <c r="AG53" s="146"/>
      <c r="AH53" s="146"/>
      <c r="AI53" s="146"/>
      <c r="AJ53" s="146"/>
      <c r="AK53" s="146"/>
      <c r="AL53" s="146"/>
      <c r="AM53" s="146"/>
      <c r="AN53" s="146"/>
      <c r="AO53" s="146"/>
      <c r="AP53" s="146"/>
      <c r="AQ53" s="146"/>
    </row>
    <row r="54" spans="1:43" ht="16.5" hidden="1">
      <c r="A54" s="226"/>
      <c r="B54" s="226"/>
      <c r="C54" s="204"/>
      <c r="D54" s="204"/>
      <c r="E54" s="204"/>
      <c r="F54" s="204"/>
      <c r="G54" s="204"/>
      <c r="H54" s="204"/>
      <c r="I54" s="204"/>
      <c r="J54" s="204"/>
      <c r="K54" s="204"/>
      <c r="L54" s="204"/>
      <c r="M54" s="204"/>
      <c r="N54" s="204"/>
      <c r="O54" s="204"/>
      <c r="P54" s="204"/>
      <c r="Q54" s="204"/>
      <c r="R54" s="204"/>
      <c r="S54" s="204"/>
      <c r="T54" s="204"/>
      <c r="U54" s="204"/>
      <c r="V54" s="204"/>
      <c r="W54" s="227" t="s">
        <v>422</v>
      </c>
      <c r="X54" s="228">
        <v>1</v>
      </c>
      <c r="Y54" s="229">
        <f aca="true" t="shared" si="11" ref="Y54:Y81">IF($P$10=W54,X54,0)</f>
        <v>1</v>
      </c>
      <c r="Z54" s="229">
        <f aca="true" t="shared" si="12" ref="Z54:Z81">IF($P$11=W54,X54,0)</f>
        <v>0</v>
      </c>
      <c r="AA54" s="230">
        <v>31</v>
      </c>
      <c r="AB54" s="219">
        <f>IF($P$10=W54,AA54,0)</f>
        <v>31</v>
      </c>
      <c r="AC54" s="222">
        <f>IF($P$11=W54,AA54,0)</f>
        <v>0</v>
      </c>
      <c r="AD54" s="221"/>
      <c r="AE54" s="221"/>
      <c r="AF54" s="221"/>
      <c r="AG54" s="146"/>
      <c r="AH54" s="146"/>
      <c r="AI54" s="146"/>
      <c r="AJ54" s="146"/>
      <c r="AK54" s="146"/>
      <c r="AL54" s="146"/>
      <c r="AM54" s="146"/>
      <c r="AN54" s="146"/>
      <c r="AO54" s="146"/>
      <c r="AP54" s="146"/>
      <c r="AQ54" s="146"/>
    </row>
    <row r="55" spans="1:43" ht="16.5" hidden="1">
      <c r="A55" s="204"/>
      <c r="B55" s="204"/>
      <c r="C55" s="204"/>
      <c r="D55" s="204"/>
      <c r="E55" s="204"/>
      <c r="F55" s="204"/>
      <c r="G55" s="204"/>
      <c r="H55" s="204"/>
      <c r="I55" s="204"/>
      <c r="J55" s="204"/>
      <c r="K55" s="204"/>
      <c r="L55" s="204"/>
      <c r="M55" s="204"/>
      <c r="N55" s="204"/>
      <c r="O55" s="204"/>
      <c r="P55" s="204"/>
      <c r="Q55" s="204"/>
      <c r="R55" s="204"/>
      <c r="S55" s="204"/>
      <c r="T55" s="204"/>
      <c r="U55" s="204"/>
      <c r="V55" s="204"/>
      <c r="W55" s="227" t="s">
        <v>447</v>
      </c>
      <c r="X55" s="228">
        <v>0.95</v>
      </c>
      <c r="Y55" s="229">
        <f t="shared" si="11"/>
        <v>0</v>
      </c>
      <c r="Z55" s="229">
        <f t="shared" si="12"/>
        <v>0</v>
      </c>
      <c r="AA55" s="230">
        <v>36</v>
      </c>
      <c r="AB55" s="219">
        <f aca="true" t="shared" si="13" ref="AB55:AB81">IF($P$10=W55,AA55,0)</f>
        <v>0</v>
      </c>
      <c r="AC55" s="222">
        <f aca="true" t="shared" si="14" ref="AC55:AC81">IF($P$11=W55,AA55,0)</f>
        <v>0</v>
      </c>
      <c r="AD55" s="221"/>
      <c r="AE55" s="221"/>
      <c r="AF55" s="221"/>
      <c r="AG55" s="146"/>
      <c r="AH55" s="146"/>
      <c r="AI55" s="146"/>
      <c r="AJ55" s="146"/>
      <c r="AK55" s="146"/>
      <c r="AL55" s="146"/>
      <c r="AM55" s="146"/>
      <c r="AN55" s="146"/>
      <c r="AO55" s="146"/>
      <c r="AP55" s="146"/>
      <c r="AQ55" s="146"/>
    </row>
    <row r="56" spans="1:43" ht="16.5" hidden="1">
      <c r="A56" s="204"/>
      <c r="B56" s="204"/>
      <c r="C56" s="204"/>
      <c r="D56" s="204"/>
      <c r="E56" s="204"/>
      <c r="F56" s="204"/>
      <c r="G56" s="204"/>
      <c r="H56" s="204"/>
      <c r="I56" s="204"/>
      <c r="J56" s="204"/>
      <c r="K56" s="204"/>
      <c r="L56" s="204"/>
      <c r="M56" s="204"/>
      <c r="N56" s="204"/>
      <c r="O56" s="204"/>
      <c r="P56" s="204"/>
      <c r="Q56" s="204"/>
      <c r="R56" s="204"/>
      <c r="S56" s="204"/>
      <c r="T56" s="204"/>
      <c r="U56" s="204"/>
      <c r="V56" s="204"/>
      <c r="W56" s="227" t="s">
        <v>448</v>
      </c>
      <c r="X56" s="228">
        <v>0.9</v>
      </c>
      <c r="Y56" s="229">
        <f t="shared" si="11"/>
        <v>0</v>
      </c>
      <c r="Z56" s="229">
        <f t="shared" si="12"/>
        <v>0</v>
      </c>
      <c r="AA56" s="230">
        <v>31</v>
      </c>
      <c r="AB56" s="219">
        <f t="shared" si="13"/>
        <v>0</v>
      </c>
      <c r="AC56" s="222">
        <f t="shared" si="14"/>
        <v>0</v>
      </c>
      <c r="AD56" s="221"/>
      <c r="AE56" s="221"/>
      <c r="AF56" s="221"/>
      <c r="AG56" s="146"/>
      <c r="AH56" s="146"/>
      <c r="AI56" s="146"/>
      <c r="AJ56" s="146"/>
      <c r="AK56" s="146"/>
      <c r="AL56" s="146"/>
      <c r="AM56" s="146"/>
      <c r="AN56" s="146"/>
      <c r="AO56" s="146"/>
      <c r="AP56" s="146"/>
      <c r="AQ56" s="146"/>
    </row>
    <row r="57" spans="1:43" ht="16.5" hidden="1">
      <c r="A57" s="204"/>
      <c r="B57" s="204"/>
      <c r="C57" s="204"/>
      <c r="D57" s="204"/>
      <c r="E57" s="204"/>
      <c r="F57" s="204"/>
      <c r="G57" s="204"/>
      <c r="H57" s="204"/>
      <c r="I57" s="204"/>
      <c r="J57" s="204"/>
      <c r="K57" s="204"/>
      <c r="L57" s="204"/>
      <c r="M57" s="204"/>
      <c r="N57" s="204"/>
      <c r="O57" s="204"/>
      <c r="P57" s="204"/>
      <c r="Q57" s="204"/>
      <c r="R57" s="204"/>
      <c r="S57" s="204"/>
      <c r="T57" s="204"/>
      <c r="U57" s="204"/>
      <c r="V57" s="204"/>
      <c r="W57" s="227" t="s">
        <v>213</v>
      </c>
      <c r="X57" s="228">
        <v>0.95</v>
      </c>
      <c r="Y57" s="229">
        <f t="shared" si="11"/>
        <v>0</v>
      </c>
      <c r="Z57" s="229">
        <f t="shared" si="12"/>
        <v>0</v>
      </c>
      <c r="AA57" s="230">
        <v>33</v>
      </c>
      <c r="AB57" s="219">
        <f t="shared" si="13"/>
        <v>0</v>
      </c>
      <c r="AC57" s="222">
        <f t="shared" si="14"/>
        <v>0</v>
      </c>
      <c r="AD57" s="221"/>
      <c r="AE57" s="221"/>
      <c r="AF57" s="221"/>
      <c r="AG57" s="146"/>
      <c r="AH57" s="146"/>
      <c r="AI57" s="146"/>
      <c r="AJ57" s="146"/>
      <c r="AK57" s="146"/>
      <c r="AL57" s="146"/>
      <c r="AM57" s="146"/>
      <c r="AN57" s="146"/>
      <c r="AO57" s="146"/>
      <c r="AP57" s="146"/>
      <c r="AQ57" s="146"/>
    </row>
    <row r="58" spans="1:43" ht="16.5" hidden="1">
      <c r="A58" s="204"/>
      <c r="B58" s="204"/>
      <c r="C58" s="204"/>
      <c r="D58" s="204"/>
      <c r="E58" s="204"/>
      <c r="F58" s="204"/>
      <c r="G58" s="204"/>
      <c r="H58" s="204"/>
      <c r="I58" s="204"/>
      <c r="J58" s="204"/>
      <c r="K58" s="204"/>
      <c r="L58" s="204"/>
      <c r="M58" s="204"/>
      <c r="N58" s="204"/>
      <c r="O58" s="204"/>
      <c r="P58" s="204"/>
      <c r="Q58" s="204"/>
      <c r="R58" s="204"/>
      <c r="S58" s="204"/>
      <c r="T58" s="204"/>
      <c r="U58" s="204"/>
      <c r="V58" s="204"/>
      <c r="W58" s="227" t="s">
        <v>449</v>
      </c>
      <c r="X58" s="228">
        <v>0.95</v>
      </c>
      <c r="Y58" s="229">
        <f t="shared" si="11"/>
        <v>0</v>
      </c>
      <c r="Z58" s="229">
        <f t="shared" si="12"/>
        <v>0</v>
      </c>
      <c r="AA58" s="230">
        <v>39</v>
      </c>
      <c r="AB58" s="219">
        <f t="shared" si="13"/>
        <v>0</v>
      </c>
      <c r="AC58" s="222">
        <f t="shared" si="14"/>
        <v>0</v>
      </c>
      <c r="AD58" s="221"/>
      <c r="AE58" s="221"/>
      <c r="AF58" s="221"/>
      <c r="AG58" s="146"/>
      <c r="AH58" s="146"/>
      <c r="AI58" s="146"/>
      <c r="AJ58" s="146"/>
      <c r="AK58" s="146"/>
      <c r="AL58" s="146"/>
      <c r="AM58" s="146"/>
      <c r="AN58" s="146"/>
      <c r="AO58" s="146"/>
      <c r="AP58" s="146"/>
      <c r="AQ58" s="146"/>
    </row>
    <row r="59" spans="1:43" ht="16.5" hidden="1">
      <c r="A59" s="204"/>
      <c r="B59" s="204"/>
      <c r="C59" s="204"/>
      <c r="D59" s="204"/>
      <c r="E59" s="204"/>
      <c r="F59" s="204"/>
      <c r="G59" s="204"/>
      <c r="H59" s="204"/>
      <c r="I59" s="204"/>
      <c r="J59" s="204"/>
      <c r="K59" s="204"/>
      <c r="L59" s="204"/>
      <c r="M59" s="204"/>
      <c r="N59" s="204"/>
      <c r="O59" s="204"/>
      <c r="P59" s="204"/>
      <c r="Q59" s="204"/>
      <c r="R59" s="204"/>
      <c r="S59" s="204"/>
      <c r="T59" s="204"/>
      <c r="U59" s="204"/>
      <c r="V59" s="204"/>
      <c r="W59" s="227" t="s">
        <v>450</v>
      </c>
      <c r="X59" s="228">
        <v>1</v>
      </c>
      <c r="Y59" s="229">
        <f t="shared" si="11"/>
        <v>0</v>
      </c>
      <c r="Z59" s="229">
        <f t="shared" si="12"/>
        <v>0</v>
      </c>
      <c r="AA59" s="230">
        <v>39</v>
      </c>
      <c r="AB59" s="219">
        <f t="shared" si="13"/>
        <v>0</v>
      </c>
      <c r="AC59" s="222">
        <f t="shared" si="14"/>
        <v>0</v>
      </c>
      <c r="AD59" s="221"/>
      <c r="AE59" s="221"/>
      <c r="AF59" s="221"/>
      <c r="AG59" s="146"/>
      <c r="AH59" s="146"/>
      <c r="AI59" s="146"/>
      <c r="AJ59" s="146"/>
      <c r="AK59" s="146"/>
      <c r="AL59" s="146"/>
      <c r="AM59" s="146"/>
      <c r="AN59" s="146"/>
      <c r="AO59" s="146"/>
      <c r="AP59" s="146"/>
      <c r="AQ59" s="146"/>
    </row>
    <row r="60" spans="1:43" ht="16.5" hidden="1">
      <c r="A60" s="204" t="s">
        <v>430</v>
      </c>
      <c r="B60" s="204"/>
      <c r="C60" s="204"/>
      <c r="D60" s="204"/>
      <c r="E60" s="204"/>
      <c r="F60" s="204"/>
      <c r="G60" s="204"/>
      <c r="H60" s="204"/>
      <c r="I60" s="204"/>
      <c r="J60" s="204"/>
      <c r="K60" s="204"/>
      <c r="L60" s="204"/>
      <c r="M60" s="204"/>
      <c r="N60" s="204"/>
      <c r="O60" s="204"/>
      <c r="P60" s="204"/>
      <c r="Q60" s="204"/>
      <c r="R60" s="204"/>
      <c r="S60" s="204"/>
      <c r="T60" s="204"/>
      <c r="U60" s="204"/>
      <c r="V60" s="204"/>
      <c r="W60" s="227" t="s">
        <v>451</v>
      </c>
      <c r="X60" s="228">
        <v>1.1</v>
      </c>
      <c r="Y60" s="229">
        <f t="shared" si="11"/>
        <v>0</v>
      </c>
      <c r="Z60" s="229">
        <f t="shared" si="12"/>
        <v>0</v>
      </c>
      <c r="AA60" s="230">
        <v>41</v>
      </c>
      <c r="AB60" s="219">
        <f t="shared" si="13"/>
        <v>0</v>
      </c>
      <c r="AC60" s="222">
        <f t="shared" si="14"/>
        <v>0</v>
      </c>
      <c r="AD60" s="221"/>
      <c r="AE60" s="221"/>
      <c r="AF60" s="221"/>
      <c r="AG60" s="146"/>
      <c r="AH60" s="146"/>
      <c r="AI60" s="146"/>
      <c r="AJ60" s="146"/>
      <c r="AK60" s="146"/>
      <c r="AL60" s="146"/>
      <c r="AM60" s="146"/>
      <c r="AN60" s="146"/>
      <c r="AO60" s="146"/>
      <c r="AP60" s="146"/>
      <c r="AQ60" s="146"/>
    </row>
    <row r="61" spans="1:43" ht="16.5" hidden="1">
      <c r="A61" s="204" t="s">
        <v>433</v>
      </c>
      <c r="B61" s="204"/>
      <c r="C61" s="204"/>
      <c r="D61" s="204"/>
      <c r="E61" s="204"/>
      <c r="F61" s="204"/>
      <c r="G61" s="204"/>
      <c r="H61" s="204"/>
      <c r="I61" s="204"/>
      <c r="J61" s="204"/>
      <c r="K61" s="204"/>
      <c r="L61" s="204"/>
      <c r="M61" s="204"/>
      <c r="N61" s="204"/>
      <c r="O61" s="204"/>
      <c r="P61" s="204"/>
      <c r="Q61" s="204"/>
      <c r="R61" s="204"/>
      <c r="S61" s="204"/>
      <c r="T61" s="204"/>
      <c r="U61" s="204"/>
      <c r="V61" s="204"/>
      <c r="W61" s="227" t="s">
        <v>452</v>
      </c>
      <c r="X61" s="228">
        <v>1</v>
      </c>
      <c r="Y61" s="229">
        <f t="shared" si="11"/>
        <v>0</v>
      </c>
      <c r="Z61" s="229">
        <f t="shared" si="12"/>
        <v>0</v>
      </c>
      <c r="AA61" s="230">
        <v>32</v>
      </c>
      <c r="AB61" s="219">
        <f t="shared" si="13"/>
        <v>0</v>
      </c>
      <c r="AC61" s="222">
        <f t="shared" si="14"/>
        <v>0</v>
      </c>
      <c r="AD61" s="221"/>
      <c r="AE61" s="221"/>
      <c r="AF61" s="221"/>
      <c r="AG61" s="146"/>
      <c r="AH61" s="146"/>
      <c r="AI61" s="146"/>
      <c r="AJ61" s="146"/>
      <c r="AK61" s="146"/>
      <c r="AL61" s="146"/>
      <c r="AM61" s="146"/>
      <c r="AN61" s="146"/>
      <c r="AO61" s="146"/>
      <c r="AP61" s="146"/>
      <c r="AQ61" s="146"/>
    </row>
    <row r="62" spans="1:43" ht="16.5" hidden="1">
      <c r="A62" s="134" t="s">
        <v>431</v>
      </c>
      <c r="B62" s="134"/>
      <c r="C62" s="357" t="s">
        <v>432</v>
      </c>
      <c r="D62" s="357"/>
      <c r="E62" s="357" t="s">
        <v>436</v>
      </c>
      <c r="F62" s="357"/>
      <c r="G62" s="357"/>
      <c r="H62" s="357"/>
      <c r="I62" s="357"/>
      <c r="J62" s="357"/>
      <c r="K62" s="357"/>
      <c r="L62" s="357"/>
      <c r="M62" s="357"/>
      <c r="N62" s="357"/>
      <c r="O62" s="357"/>
      <c r="P62" s="357"/>
      <c r="Q62" s="357"/>
      <c r="R62" s="357"/>
      <c r="S62" s="357"/>
      <c r="T62" s="357"/>
      <c r="U62" s="204"/>
      <c r="V62" s="204"/>
      <c r="W62" s="227" t="s">
        <v>453</v>
      </c>
      <c r="X62" s="228">
        <v>1</v>
      </c>
      <c r="Y62" s="229">
        <f t="shared" si="11"/>
        <v>0</v>
      </c>
      <c r="Z62" s="229">
        <f t="shared" si="12"/>
        <v>0</v>
      </c>
      <c r="AA62" s="230">
        <v>36</v>
      </c>
      <c r="AB62" s="219">
        <f t="shared" si="13"/>
        <v>0</v>
      </c>
      <c r="AC62" s="222">
        <f t="shared" si="14"/>
        <v>0</v>
      </c>
      <c r="AD62" s="221"/>
      <c r="AE62" s="221"/>
      <c r="AF62" s="221"/>
      <c r="AG62" s="146"/>
      <c r="AH62" s="146"/>
      <c r="AI62" s="146"/>
      <c r="AJ62" s="146"/>
      <c r="AK62" s="146"/>
      <c r="AL62" s="146"/>
      <c r="AM62" s="146"/>
      <c r="AN62" s="146"/>
      <c r="AO62" s="146"/>
      <c r="AP62" s="146"/>
      <c r="AQ62" s="146"/>
    </row>
    <row r="63" spans="1:43" ht="16.5" hidden="1">
      <c r="A63" s="134">
        <v>1</v>
      </c>
      <c r="B63" s="134"/>
      <c r="C63" s="357">
        <v>76.5</v>
      </c>
      <c r="D63" s="357"/>
      <c r="E63" s="357"/>
      <c r="F63" s="357"/>
      <c r="G63" s="357"/>
      <c r="H63" s="357"/>
      <c r="I63" s="357"/>
      <c r="J63" s="357"/>
      <c r="K63" s="357"/>
      <c r="L63" s="357"/>
      <c r="M63" s="357"/>
      <c r="N63" s="357"/>
      <c r="O63" s="357"/>
      <c r="P63" s="357"/>
      <c r="Q63" s="357"/>
      <c r="R63" s="357"/>
      <c r="S63" s="357"/>
      <c r="T63" s="357"/>
      <c r="U63" s="204"/>
      <c r="V63" s="204"/>
      <c r="W63" s="227" t="s">
        <v>454</v>
      </c>
      <c r="X63" s="228">
        <v>1</v>
      </c>
      <c r="Y63" s="229">
        <f t="shared" si="11"/>
        <v>0</v>
      </c>
      <c r="Z63" s="229">
        <f t="shared" si="12"/>
        <v>0</v>
      </c>
      <c r="AA63" s="230">
        <v>39</v>
      </c>
      <c r="AB63" s="219">
        <f t="shared" si="13"/>
        <v>0</v>
      </c>
      <c r="AC63" s="222">
        <f t="shared" si="14"/>
        <v>0</v>
      </c>
      <c r="AD63" s="221"/>
      <c r="AE63" s="221"/>
      <c r="AF63" s="221"/>
      <c r="AG63" s="146"/>
      <c r="AH63" s="146"/>
      <c r="AI63" s="146"/>
      <c r="AJ63" s="146"/>
      <c r="AK63" s="146"/>
      <c r="AL63" s="146"/>
      <c r="AM63" s="146"/>
      <c r="AN63" s="146"/>
      <c r="AO63" s="146"/>
      <c r="AP63" s="146"/>
      <c r="AQ63" s="146"/>
    </row>
    <row r="64" spans="1:43" ht="16.5" hidden="1">
      <c r="A64" s="134">
        <v>1.5</v>
      </c>
      <c r="B64" s="135"/>
      <c r="C64" s="358">
        <f>AVERAGE(C63,C65)</f>
        <v>78.9</v>
      </c>
      <c r="D64" s="359"/>
      <c r="E64" s="357"/>
      <c r="F64" s="357"/>
      <c r="G64" s="357"/>
      <c r="H64" s="357"/>
      <c r="I64" s="357"/>
      <c r="J64" s="357"/>
      <c r="K64" s="357"/>
      <c r="L64" s="357"/>
      <c r="M64" s="357"/>
      <c r="N64" s="357"/>
      <c r="O64" s="357"/>
      <c r="P64" s="357"/>
      <c r="Q64" s="357"/>
      <c r="R64" s="357"/>
      <c r="S64" s="357"/>
      <c r="T64" s="357"/>
      <c r="U64" s="204"/>
      <c r="V64" s="204"/>
      <c r="W64" s="227" t="s">
        <v>423</v>
      </c>
      <c r="X64" s="228">
        <v>1</v>
      </c>
      <c r="Y64" s="229">
        <f t="shared" si="11"/>
        <v>0</v>
      </c>
      <c r="Z64" s="229">
        <f t="shared" si="12"/>
        <v>0</v>
      </c>
      <c r="AA64" s="230">
        <v>36</v>
      </c>
      <c r="AB64" s="219">
        <f t="shared" si="13"/>
        <v>0</v>
      </c>
      <c r="AC64" s="222">
        <f t="shared" si="14"/>
        <v>0</v>
      </c>
      <c r="AD64" s="221"/>
      <c r="AE64" s="221"/>
      <c r="AF64" s="221"/>
      <c r="AG64" s="146"/>
      <c r="AH64" s="146"/>
      <c r="AI64" s="146"/>
      <c r="AJ64" s="146"/>
      <c r="AK64" s="146"/>
      <c r="AL64" s="146"/>
      <c r="AM64" s="146"/>
      <c r="AN64" s="146"/>
      <c r="AO64" s="146"/>
      <c r="AP64" s="146"/>
      <c r="AQ64" s="146"/>
    </row>
    <row r="65" spans="1:43" ht="16.5" hidden="1">
      <c r="A65" s="134">
        <v>2</v>
      </c>
      <c r="B65" s="134"/>
      <c r="C65" s="357">
        <v>81.3</v>
      </c>
      <c r="D65" s="357"/>
      <c r="E65" s="357"/>
      <c r="F65" s="357"/>
      <c r="G65" s="357"/>
      <c r="H65" s="357"/>
      <c r="I65" s="357"/>
      <c r="J65" s="357"/>
      <c r="K65" s="357"/>
      <c r="L65" s="357"/>
      <c r="M65" s="357"/>
      <c r="N65" s="357"/>
      <c r="O65" s="357"/>
      <c r="P65" s="357"/>
      <c r="Q65" s="357"/>
      <c r="R65" s="357"/>
      <c r="S65" s="357"/>
      <c r="T65" s="357"/>
      <c r="U65" s="204"/>
      <c r="V65" s="204"/>
      <c r="W65" s="227" t="s">
        <v>455</v>
      </c>
      <c r="X65" s="228">
        <v>1.2</v>
      </c>
      <c r="Y65" s="229">
        <f t="shared" si="11"/>
        <v>0</v>
      </c>
      <c r="Z65" s="229">
        <f t="shared" si="12"/>
        <v>0</v>
      </c>
      <c r="AA65" s="230">
        <v>43</v>
      </c>
      <c r="AB65" s="219">
        <f t="shared" si="13"/>
        <v>0</v>
      </c>
      <c r="AC65" s="222">
        <f t="shared" si="14"/>
        <v>0</v>
      </c>
      <c r="AD65" s="221"/>
      <c r="AE65" s="221"/>
      <c r="AF65" s="221"/>
      <c r="AG65" s="146"/>
      <c r="AH65" s="146"/>
      <c r="AI65" s="146"/>
      <c r="AJ65" s="146"/>
      <c r="AK65" s="146"/>
      <c r="AL65" s="146"/>
      <c r="AM65" s="146"/>
      <c r="AN65" s="146"/>
      <c r="AO65" s="146"/>
      <c r="AP65" s="146"/>
      <c r="AQ65" s="146"/>
    </row>
    <row r="66" spans="1:43" ht="16.5" hidden="1">
      <c r="A66" s="134">
        <v>2.5</v>
      </c>
      <c r="B66" s="135"/>
      <c r="C66" s="358">
        <f>AVERAGE(C65,C67)</f>
        <v>84</v>
      </c>
      <c r="D66" s="359"/>
      <c r="E66" s="357"/>
      <c r="F66" s="357"/>
      <c r="G66" s="357"/>
      <c r="H66" s="357"/>
      <c r="I66" s="357"/>
      <c r="J66" s="357"/>
      <c r="K66" s="357"/>
      <c r="L66" s="357"/>
      <c r="M66" s="357"/>
      <c r="N66" s="357"/>
      <c r="O66" s="357"/>
      <c r="P66" s="357"/>
      <c r="Q66" s="357"/>
      <c r="R66" s="357"/>
      <c r="S66" s="357"/>
      <c r="T66" s="357"/>
      <c r="U66" s="204"/>
      <c r="V66" s="204"/>
      <c r="W66" s="227" t="s">
        <v>456</v>
      </c>
      <c r="X66" s="228">
        <v>1.2</v>
      </c>
      <c r="Y66" s="229">
        <f t="shared" si="11"/>
        <v>0</v>
      </c>
      <c r="Z66" s="229">
        <f t="shared" si="12"/>
        <v>0</v>
      </c>
      <c r="AA66" s="230">
        <v>31</v>
      </c>
      <c r="AB66" s="219">
        <f t="shared" si="13"/>
        <v>0</v>
      </c>
      <c r="AC66" s="222">
        <f t="shared" si="14"/>
        <v>0</v>
      </c>
      <c r="AD66" s="221"/>
      <c r="AE66" s="221"/>
      <c r="AF66" s="221"/>
      <c r="AG66" s="146"/>
      <c r="AH66" s="146"/>
      <c r="AI66" s="146"/>
      <c r="AJ66" s="146"/>
      <c r="AK66" s="146"/>
      <c r="AL66" s="146"/>
      <c r="AM66" s="146"/>
      <c r="AN66" s="146"/>
      <c r="AO66" s="146"/>
      <c r="AP66" s="146"/>
      <c r="AQ66" s="146"/>
    </row>
    <row r="67" spans="1:43" ht="16.5" hidden="1">
      <c r="A67" s="134">
        <v>3</v>
      </c>
      <c r="B67" s="134"/>
      <c r="C67" s="357">
        <v>86.7</v>
      </c>
      <c r="D67" s="357"/>
      <c r="E67" s="357"/>
      <c r="F67" s="357"/>
      <c r="G67" s="357"/>
      <c r="H67" s="357"/>
      <c r="I67" s="357"/>
      <c r="J67" s="357"/>
      <c r="K67" s="357"/>
      <c r="L67" s="357"/>
      <c r="M67" s="357"/>
      <c r="N67" s="357"/>
      <c r="O67" s="357"/>
      <c r="P67" s="357"/>
      <c r="Q67" s="357"/>
      <c r="R67" s="357"/>
      <c r="S67" s="357"/>
      <c r="T67" s="357"/>
      <c r="U67" s="204"/>
      <c r="V67" s="204"/>
      <c r="W67" s="227" t="s">
        <v>457</v>
      </c>
      <c r="X67" s="228">
        <v>1</v>
      </c>
      <c r="Y67" s="229">
        <f t="shared" si="11"/>
        <v>0</v>
      </c>
      <c r="Z67" s="229">
        <f t="shared" si="12"/>
        <v>0</v>
      </c>
      <c r="AA67" s="230">
        <v>37</v>
      </c>
      <c r="AB67" s="219">
        <f t="shared" si="13"/>
        <v>0</v>
      </c>
      <c r="AC67" s="222">
        <f t="shared" si="14"/>
        <v>0</v>
      </c>
      <c r="AD67" s="221"/>
      <c r="AE67" s="221"/>
      <c r="AF67" s="221"/>
      <c r="AG67" s="146"/>
      <c r="AH67" s="146"/>
      <c r="AI67" s="146"/>
      <c r="AJ67" s="146"/>
      <c r="AK67" s="146"/>
      <c r="AL67" s="146"/>
      <c r="AM67" s="146"/>
      <c r="AN67" s="146"/>
      <c r="AO67" s="146"/>
      <c r="AP67" s="146"/>
      <c r="AQ67" s="146"/>
    </row>
    <row r="68" spans="1:43" ht="16.5" hidden="1">
      <c r="A68" s="134">
        <v>3.5</v>
      </c>
      <c r="B68" s="135"/>
      <c r="C68" s="358">
        <f>AVERAGE(C67,C69)</f>
        <v>89.80000000000001</v>
      </c>
      <c r="D68" s="359"/>
      <c r="E68" s="357"/>
      <c r="F68" s="357"/>
      <c r="G68" s="357"/>
      <c r="H68" s="357"/>
      <c r="I68" s="357"/>
      <c r="J68" s="357"/>
      <c r="K68" s="357"/>
      <c r="L68" s="357"/>
      <c r="M68" s="357"/>
      <c r="N68" s="357"/>
      <c r="O68" s="357"/>
      <c r="P68" s="357"/>
      <c r="Q68" s="357"/>
      <c r="R68" s="357"/>
      <c r="S68" s="357"/>
      <c r="T68" s="357"/>
      <c r="U68" s="204"/>
      <c r="V68" s="204"/>
      <c r="W68" s="227" t="s">
        <v>458</v>
      </c>
      <c r="X68" s="228">
        <v>1</v>
      </c>
      <c r="Y68" s="229">
        <f t="shared" si="11"/>
        <v>0</v>
      </c>
      <c r="Z68" s="229">
        <f t="shared" si="12"/>
        <v>0</v>
      </c>
      <c r="AA68" s="230">
        <v>33</v>
      </c>
      <c r="AB68" s="219">
        <f t="shared" si="13"/>
        <v>0</v>
      </c>
      <c r="AC68" s="222">
        <f t="shared" si="14"/>
        <v>0</v>
      </c>
      <c r="AD68" s="221"/>
      <c r="AE68" s="221"/>
      <c r="AF68" s="221"/>
      <c r="AG68" s="146"/>
      <c r="AH68" s="146"/>
      <c r="AI68" s="146"/>
      <c r="AJ68" s="146"/>
      <c r="AK68" s="146"/>
      <c r="AL68" s="146"/>
      <c r="AM68" s="146"/>
      <c r="AN68" s="146"/>
      <c r="AO68" s="146"/>
      <c r="AP68" s="146"/>
      <c r="AQ68" s="146"/>
    </row>
    <row r="69" spans="1:43" ht="16.5" hidden="1">
      <c r="A69" s="134">
        <v>4</v>
      </c>
      <c r="B69" s="134"/>
      <c r="C69" s="357">
        <v>92.9</v>
      </c>
      <c r="D69" s="357"/>
      <c r="E69" s="357"/>
      <c r="F69" s="357"/>
      <c r="G69" s="357"/>
      <c r="H69" s="357"/>
      <c r="I69" s="357"/>
      <c r="J69" s="357"/>
      <c r="K69" s="357"/>
      <c r="L69" s="357"/>
      <c r="M69" s="357"/>
      <c r="N69" s="357"/>
      <c r="O69" s="357"/>
      <c r="P69" s="357"/>
      <c r="Q69" s="357"/>
      <c r="R69" s="357"/>
      <c r="S69" s="357"/>
      <c r="T69" s="357"/>
      <c r="U69" s="204"/>
      <c r="V69" s="204"/>
      <c r="W69" s="227" t="s">
        <v>289</v>
      </c>
      <c r="X69" s="228">
        <v>1</v>
      </c>
      <c r="Y69" s="229">
        <f t="shared" si="11"/>
        <v>0</v>
      </c>
      <c r="Z69" s="229">
        <f t="shared" si="12"/>
        <v>0</v>
      </c>
      <c r="AA69" s="230">
        <v>40</v>
      </c>
      <c r="AB69" s="219">
        <f t="shared" si="13"/>
        <v>0</v>
      </c>
      <c r="AC69" s="222">
        <f t="shared" si="14"/>
        <v>0</v>
      </c>
      <c r="AD69" s="221"/>
      <c r="AE69" s="221"/>
      <c r="AF69" s="221"/>
      <c r="AG69" s="146"/>
      <c r="AH69" s="146"/>
      <c r="AI69" s="146"/>
      <c r="AJ69" s="146"/>
      <c r="AK69" s="146"/>
      <c r="AL69" s="146"/>
      <c r="AM69" s="146"/>
      <c r="AN69" s="146"/>
      <c r="AO69" s="146"/>
      <c r="AP69" s="146"/>
      <c r="AQ69" s="146"/>
    </row>
    <row r="70" spans="1:43" ht="16.5" hidden="1">
      <c r="A70" s="134">
        <v>4.5</v>
      </c>
      <c r="B70" s="135"/>
      <c r="C70" s="358">
        <f>AVERAGE(C69,C71)</f>
        <v>96.45</v>
      </c>
      <c r="D70" s="359"/>
      <c r="E70" s="357"/>
      <c r="F70" s="357"/>
      <c r="G70" s="357"/>
      <c r="H70" s="357"/>
      <c r="I70" s="357"/>
      <c r="J70" s="357"/>
      <c r="K70" s="357"/>
      <c r="L70" s="357"/>
      <c r="M70" s="357"/>
      <c r="N70" s="357"/>
      <c r="O70" s="357"/>
      <c r="P70" s="357"/>
      <c r="Q70" s="357"/>
      <c r="R70" s="357"/>
      <c r="S70" s="357"/>
      <c r="T70" s="357"/>
      <c r="U70" s="204"/>
      <c r="V70" s="204"/>
      <c r="W70" s="227" t="s">
        <v>459</v>
      </c>
      <c r="X70" s="228">
        <v>0.9</v>
      </c>
      <c r="Y70" s="229">
        <f t="shared" si="11"/>
        <v>0</v>
      </c>
      <c r="Z70" s="229">
        <f t="shared" si="12"/>
        <v>0</v>
      </c>
      <c r="AA70" s="230">
        <v>32</v>
      </c>
      <c r="AB70" s="219">
        <f t="shared" si="13"/>
        <v>0</v>
      </c>
      <c r="AC70" s="222">
        <f t="shared" si="14"/>
        <v>0</v>
      </c>
      <c r="AD70" s="221"/>
      <c r="AE70" s="221"/>
      <c r="AF70" s="221"/>
      <c r="AG70" s="146"/>
      <c r="AH70" s="146"/>
      <c r="AI70" s="146"/>
      <c r="AJ70" s="146"/>
      <c r="AK70" s="146"/>
      <c r="AL70" s="146"/>
      <c r="AM70" s="146"/>
      <c r="AN70" s="146"/>
      <c r="AO70" s="146"/>
      <c r="AP70" s="146"/>
      <c r="AQ70" s="146"/>
    </row>
    <row r="71" spans="1:43" ht="16.5" hidden="1">
      <c r="A71" s="134">
        <v>5</v>
      </c>
      <c r="B71" s="134"/>
      <c r="C71" s="357">
        <v>100</v>
      </c>
      <c r="D71" s="357"/>
      <c r="E71" s="357"/>
      <c r="F71" s="357"/>
      <c r="G71" s="357"/>
      <c r="H71" s="357"/>
      <c r="I71" s="357"/>
      <c r="J71" s="357"/>
      <c r="K71" s="357"/>
      <c r="L71" s="357"/>
      <c r="M71" s="357"/>
      <c r="N71" s="357"/>
      <c r="O71" s="357"/>
      <c r="P71" s="357"/>
      <c r="Q71" s="357"/>
      <c r="R71" s="357"/>
      <c r="S71" s="357"/>
      <c r="T71" s="357"/>
      <c r="U71" s="204"/>
      <c r="V71" s="204"/>
      <c r="W71" s="227" t="s">
        <v>214</v>
      </c>
      <c r="X71" s="228">
        <v>1</v>
      </c>
      <c r="Y71" s="229">
        <f t="shared" si="11"/>
        <v>0</v>
      </c>
      <c r="Z71" s="229">
        <f t="shared" si="12"/>
        <v>0</v>
      </c>
      <c r="AA71" s="230">
        <v>38</v>
      </c>
      <c r="AB71" s="219">
        <f t="shared" si="13"/>
        <v>0</v>
      </c>
      <c r="AC71" s="222">
        <f t="shared" si="14"/>
        <v>0</v>
      </c>
      <c r="AD71" s="221"/>
      <c r="AE71" s="221"/>
      <c r="AF71" s="221"/>
      <c r="AG71" s="146"/>
      <c r="AH71" s="146"/>
      <c r="AI71" s="146"/>
      <c r="AJ71" s="146"/>
      <c r="AK71" s="146"/>
      <c r="AL71" s="146"/>
      <c r="AM71" s="146"/>
      <c r="AN71" s="146"/>
      <c r="AO71" s="146"/>
      <c r="AP71" s="146"/>
      <c r="AQ71" s="146"/>
    </row>
    <row r="72" spans="1:43" ht="16.5" hidden="1">
      <c r="A72" s="134">
        <v>5.5</v>
      </c>
      <c r="B72" s="135"/>
      <c r="C72" s="358">
        <f>AVERAGE(C71,C73)</f>
        <v>104.15</v>
      </c>
      <c r="D72" s="359"/>
      <c r="E72" s="357"/>
      <c r="F72" s="357"/>
      <c r="G72" s="357"/>
      <c r="H72" s="357"/>
      <c r="I72" s="357"/>
      <c r="J72" s="357"/>
      <c r="K72" s="357"/>
      <c r="L72" s="357"/>
      <c r="M72" s="357"/>
      <c r="N72" s="357"/>
      <c r="O72" s="357"/>
      <c r="P72" s="357"/>
      <c r="Q72" s="357"/>
      <c r="R72" s="357"/>
      <c r="S72" s="357"/>
      <c r="T72" s="357"/>
      <c r="U72" s="204"/>
      <c r="V72" s="204"/>
      <c r="W72" s="227" t="s">
        <v>460</v>
      </c>
      <c r="X72" s="228">
        <v>1</v>
      </c>
      <c r="Y72" s="229">
        <f t="shared" si="11"/>
        <v>0</v>
      </c>
      <c r="Z72" s="229">
        <f t="shared" si="12"/>
        <v>0</v>
      </c>
      <c r="AA72" s="230">
        <v>38</v>
      </c>
      <c r="AB72" s="219">
        <f t="shared" si="13"/>
        <v>0</v>
      </c>
      <c r="AC72" s="222">
        <f t="shared" si="14"/>
        <v>0</v>
      </c>
      <c r="AD72" s="221"/>
      <c r="AE72" s="221"/>
      <c r="AF72" s="221"/>
      <c r="AG72" s="146"/>
      <c r="AH72" s="146"/>
      <c r="AI72" s="146"/>
      <c r="AJ72" s="146"/>
      <c r="AK72" s="146"/>
      <c r="AL72" s="146"/>
      <c r="AM72" s="146"/>
      <c r="AN72" s="146"/>
      <c r="AO72" s="146"/>
      <c r="AP72" s="146"/>
      <c r="AQ72" s="146"/>
    </row>
    <row r="73" spans="1:43" ht="16.5" hidden="1">
      <c r="A73" s="134">
        <v>6</v>
      </c>
      <c r="B73" s="134"/>
      <c r="C73" s="357">
        <v>108.3</v>
      </c>
      <c r="D73" s="357"/>
      <c r="E73" s="357"/>
      <c r="F73" s="357"/>
      <c r="G73" s="357"/>
      <c r="H73" s="357"/>
      <c r="I73" s="357"/>
      <c r="J73" s="357"/>
      <c r="K73" s="357"/>
      <c r="L73" s="357"/>
      <c r="M73" s="357"/>
      <c r="N73" s="357"/>
      <c r="O73" s="357"/>
      <c r="P73" s="357"/>
      <c r="Q73" s="357"/>
      <c r="R73" s="357"/>
      <c r="S73" s="357"/>
      <c r="T73" s="357"/>
      <c r="U73" s="204"/>
      <c r="V73" s="204"/>
      <c r="W73" s="227" t="s">
        <v>215</v>
      </c>
      <c r="X73" s="228">
        <v>1</v>
      </c>
      <c r="Y73" s="229">
        <f t="shared" si="11"/>
        <v>0</v>
      </c>
      <c r="Z73" s="229">
        <f t="shared" si="12"/>
        <v>0</v>
      </c>
      <c r="AA73" s="230">
        <v>33</v>
      </c>
      <c r="AB73" s="219">
        <f t="shared" si="13"/>
        <v>0</v>
      </c>
      <c r="AC73" s="222">
        <f t="shared" si="14"/>
        <v>0</v>
      </c>
      <c r="AD73" s="221"/>
      <c r="AE73" s="221"/>
      <c r="AF73" s="221"/>
      <c r="AG73" s="146"/>
      <c r="AH73" s="146"/>
      <c r="AI73" s="146"/>
      <c r="AJ73" s="146"/>
      <c r="AK73" s="146"/>
      <c r="AL73" s="146"/>
      <c r="AM73" s="146"/>
      <c r="AN73" s="146"/>
      <c r="AO73" s="146"/>
      <c r="AP73" s="146"/>
      <c r="AQ73" s="146"/>
    </row>
    <row r="74" spans="1:43" ht="16.5" hidden="1">
      <c r="A74" s="134">
        <v>6.5</v>
      </c>
      <c r="B74" s="135"/>
      <c r="C74" s="358">
        <f>AVERAGE(C73,C75)</f>
        <v>113.19999999999999</v>
      </c>
      <c r="D74" s="359"/>
      <c r="E74" s="357"/>
      <c r="F74" s="357"/>
      <c r="G74" s="357"/>
      <c r="H74" s="357"/>
      <c r="I74" s="357"/>
      <c r="J74" s="357"/>
      <c r="K74" s="357"/>
      <c r="L74" s="357"/>
      <c r="M74" s="357"/>
      <c r="N74" s="357"/>
      <c r="O74" s="357"/>
      <c r="P74" s="357"/>
      <c r="Q74" s="357"/>
      <c r="R74" s="357"/>
      <c r="S74" s="357"/>
      <c r="T74" s="357"/>
      <c r="U74" s="204"/>
      <c r="V74" s="204"/>
      <c r="W74" s="227" t="s">
        <v>461</v>
      </c>
      <c r="X74" s="228">
        <v>1</v>
      </c>
      <c r="Y74" s="229">
        <f t="shared" si="11"/>
        <v>0</v>
      </c>
      <c r="Z74" s="229">
        <f t="shared" si="12"/>
        <v>0</v>
      </c>
      <c r="AA74" s="230">
        <v>36</v>
      </c>
      <c r="AB74" s="219">
        <f t="shared" si="13"/>
        <v>0</v>
      </c>
      <c r="AC74" s="222">
        <f t="shared" si="14"/>
        <v>0</v>
      </c>
      <c r="AD74" s="221"/>
      <c r="AE74" s="221"/>
      <c r="AF74" s="221"/>
      <c r="AG74" s="146"/>
      <c r="AH74" s="146"/>
      <c r="AI74" s="146"/>
      <c r="AJ74" s="146"/>
      <c r="AK74" s="146"/>
      <c r="AL74" s="146"/>
      <c r="AM74" s="146"/>
      <c r="AN74" s="146"/>
      <c r="AO74" s="146"/>
      <c r="AP74" s="146"/>
      <c r="AQ74" s="146"/>
    </row>
    <row r="75" spans="1:43" ht="16.5" hidden="1">
      <c r="A75" s="134">
        <v>7</v>
      </c>
      <c r="B75" s="134"/>
      <c r="C75" s="357">
        <v>118.1</v>
      </c>
      <c r="D75" s="357"/>
      <c r="E75" s="357"/>
      <c r="F75" s="357"/>
      <c r="G75" s="357"/>
      <c r="H75" s="357"/>
      <c r="I75" s="357"/>
      <c r="J75" s="357"/>
      <c r="K75" s="357"/>
      <c r="L75" s="357"/>
      <c r="M75" s="357"/>
      <c r="N75" s="357"/>
      <c r="O75" s="357"/>
      <c r="P75" s="357"/>
      <c r="Q75" s="357"/>
      <c r="R75" s="357"/>
      <c r="S75" s="357"/>
      <c r="T75" s="357"/>
      <c r="U75" s="204"/>
      <c r="V75" s="204"/>
      <c r="W75" s="227" t="s">
        <v>462</v>
      </c>
      <c r="X75" s="228">
        <v>0.9</v>
      </c>
      <c r="Y75" s="229">
        <f t="shared" si="11"/>
        <v>0</v>
      </c>
      <c r="Z75" s="229">
        <f t="shared" si="12"/>
        <v>0</v>
      </c>
      <c r="AA75" s="230">
        <v>38</v>
      </c>
      <c r="AB75" s="219">
        <f t="shared" si="13"/>
        <v>0</v>
      </c>
      <c r="AC75" s="222">
        <f t="shared" si="14"/>
        <v>0</v>
      </c>
      <c r="AD75" s="221"/>
      <c r="AE75" s="221"/>
      <c r="AF75" s="221"/>
      <c r="AG75" s="146"/>
      <c r="AH75" s="146"/>
      <c r="AI75" s="146"/>
      <c r="AJ75" s="146"/>
      <c r="AK75" s="146"/>
      <c r="AL75" s="146"/>
      <c r="AM75" s="146"/>
      <c r="AN75" s="146"/>
      <c r="AO75" s="146"/>
      <c r="AP75" s="146"/>
      <c r="AQ75" s="146"/>
    </row>
    <row r="76" spans="1:43" ht="16.5" hidden="1">
      <c r="A76" s="134">
        <v>7.5</v>
      </c>
      <c r="B76" s="135"/>
      <c r="C76" s="358">
        <f>AVERAGE(C75,C77)</f>
        <v>124</v>
      </c>
      <c r="D76" s="359"/>
      <c r="E76" s="357"/>
      <c r="F76" s="357"/>
      <c r="G76" s="357"/>
      <c r="H76" s="357"/>
      <c r="I76" s="357"/>
      <c r="J76" s="357"/>
      <c r="K76" s="357"/>
      <c r="L76" s="357"/>
      <c r="M76" s="357"/>
      <c r="N76" s="357"/>
      <c r="O76" s="357"/>
      <c r="P76" s="357"/>
      <c r="Q76" s="357"/>
      <c r="R76" s="357"/>
      <c r="S76" s="357"/>
      <c r="T76" s="357"/>
      <c r="U76" s="204"/>
      <c r="V76" s="204"/>
      <c r="W76" s="227" t="s">
        <v>463</v>
      </c>
      <c r="X76" s="228">
        <v>1</v>
      </c>
      <c r="Y76" s="229">
        <f t="shared" si="11"/>
        <v>0</v>
      </c>
      <c r="Z76" s="229">
        <f t="shared" si="12"/>
        <v>0</v>
      </c>
      <c r="AA76" s="230">
        <v>35</v>
      </c>
      <c r="AB76" s="219">
        <f t="shared" si="13"/>
        <v>0</v>
      </c>
      <c r="AC76" s="222">
        <f t="shared" si="14"/>
        <v>0</v>
      </c>
      <c r="AD76" s="221"/>
      <c r="AE76" s="221"/>
      <c r="AF76" s="221"/>
      <c r="AG76" s="146"/>
      <c r="AH76" s="146"/>
      <c r="AI76" s="146"/>
      <c r="AJ76" s="146"/>
      <c r="AK76" s="146"/>
      <c r="AL76" s="146"/>
      <c r="AM76" s="146"/>
      <c r="AN76" s="146"/>
      <c r="AO76" s="146"/>
      <c r="AP76" s="146"/>
      <c r="AQ76" s="146"/>
    </row>
    <row r="77" spans="1:43" ht="16.5" hidden="1">
      <c r="A77" s="134">
        <v>8</v>
      </c>
      <c r="B77" s="134"/>
      <c r="C77" s="357">
        <v>129.9</v>
      </c>
      <c r="D77" s="357"/>
      <c r="E77" s="357"/>
      <c r="F77" s="357"/>
      <c r="G77" s="357"/>
      <c r="H77" s="357"/>
      <c r="I77" s="357"/>
      <c r="J77" s="357"/>
      <c r="K77" s="357"/>
      <c r="L77" s="357"/>
      <c r="M77" s="357"/>
      <c r="N77" s="357"/>
      <c r="O77" s="357"/>
      <c r="P77" s="357"/>
      <c r="Q77" s="357"/>
      <c r="R77" s="357"/>
      <c r="S77" s="357"/>
      <c r="T77" s="357"/>
      <c r="U77" s="204"/>
      <c r="V77" s="204"/>
      <c r="W77" s="227" t="s">
        <v>216</v>
      </c>
      <c r="X77" s="228">
        <v>0.9</v>
      </c>
      <c r="Y77" s="229">
        <f t="shared" si="11"/>
        <v>0</v>
      </c>
      <c r="Z77" s="229">
        <f t="shared" si="12"/>
        <v>0</v>
      </c>
      <c r="AA77" s="230">
        <v>33</v>
      </c>
      <c r="AB77" s="219">
        <f t="shared" si="13"/>
        <v>0</v>
      </c>
      <c r="AC77" s="222">
        <f t="shared" si="14"/>
        <v>0</v>
      </c>
      <c r="AD77" s="221"/>
      <c r="AE77" s="221"/>
      <c r="AF77" s="221"/>
      <c r="AG77" s="146"/>
      <c r="AH77" s="146"/>
      <c r="AI77" s="146"/>
      <c r="AJ77" s="146"/>
      <c r="AK77" s="146"/>
      <c r="AL77" s="146"/>
      <c r="AM77" s="146"/>
      <c r="AN77" s="146"/>
      <c r="AO77" s="146"/>
      <c r="AP77" s="146"/>
      <c r="AQ77" s="146"/>
    </row>
    <row r="78" spans="1:43" ht="16.5" hidden="1">
      <c r="A78" s="134">
        <v>8.5</v>
      </c>
      <c r="B78" s="135"/>
      <c r="C78" s="358">
        <f>AVERAGE(C77,C79)</f>
        <v>137.10000000000002</v>
      </c>
      <c r="D78" s="359"/>
      <c r="E78" s="357"/>
      <c r="F78" s="357"/>
      <c r="G78" s="357"/>
      <c r="H78" s="357"/>
      <c r="I78" s="357"/>
      <c r="J78" s="357"/>
      <c r="K78" s="357"/>
      <c r="L78" s="357"/>
      <c r="M78" s="357"/>
      <c r="N78" s="357"/>
      <c r="O78" s="357"/>
      <c r="P78" s="357"/>
      <c r="Q78" s="357"/>
      <c r="R78" s="357"/>
      <c r="S78" s="357"/>
      <c r="T78" s="357"/>
      <c r="U78" s="204"/>
      <c r="V78" s="204"/>
      <c r="W78" s="227" t="s">
        <v>424</v>
      </c>
      <c r="X78" s="228">
        <v>1</v>
      </c>
      <c r="Y78" s="229">
        <f t="shared" si="11"/>
        <v>0</v>
      </c>
      <c r="Z78" s="229">
        <f t="shared" si="12"/>
        <v>0</v>
      </c>
      <c r="AA78" s="230">
        <v>37</v>
      </c>
      <c r="AB78" s="219">
        <f t="shared" si="13"/>
        <v>0</v>
      </c>
      <c r="AC78" s="222">
        <f t="shared" si="14"/>
        <v>0</v>
      </c>
      <c r="AD78" s="221"/>
      <c r="AE78" s="221"/>
      <c r="AF78" s="221"/>
      <c r="AG78" s="146"/>
      <c r="AH78" s="146"/>
      <c r="AI78" s="146"/>
      <c r="AJ78" s="146"/>
      <c r="AK78" s="146"/>
      <c r="AL78" s="146"/>
      <c r="AM78" s="146"/>
      <c r="AN78" s="146"/>
      <c r="AO78" s="146"/>
      <c r="AP78" s="146"/>
      <c r="AQ78" s="146"/>
    </row>
    <row r="79" spans="1:43" ht="16.5" hidden="1">
      <c r="A79" s="134">
        <v>9</v>
      </c>
      <c r="B79" s="134"/>
      <c r="C79" s="357">
        <v>144.3</v>
      </c>
      <c r="D79" s="357"/>
      <c r="E79" s="357"/>
      <c r="F79" s="357"/>
      <c r="G79" s="357"/>
      <c r="H79" s="357"/>
      <c r="I79" s="357"/>
      <c r="J79" s="357"/>
      <c r="K79" s="357"/>
      <c r="L79" s="357"/>
      <c r="M79" s="357"/>
      <c r="N79" s="357"/>
      <c r="O79" s="357"/>
      <c r="P79" s="357"/>
      <c r="Q79" s="357"/>
      <c r="R79" s="357"/>
      <c r="S79" s="357"/>
      <c r="T79" s="357"/>
      <c r="U79" s="204"/>
      <c r="V79" s="204"/>
      <c r="W79" s="227" t="s">
        <v>425</v>
      </c>
      <c r="X79" s="228">
        <v>1.2</v>
      </c>
      <c r="Y79" s="229">
        <f t="shared" si="11"/>
        <v>0</v>
      </c>
      <c r="Z79" s="229">
        <f t="shared" si="12"/>
        <v>0</v>
      </c>
      <c r="AA79" s="230">
        <v>39</v>
      </c>
      <c r="AB79" s="219">
        <f t="shared" si="13"/>
        <v>0</v>
      </c>
      <c r="AC79" s="222">
        <f t="shared" si="14"/>
        <v>0</v>
      </c>
      <c r="AD79" s="221"/>
      <c r="AE79" s="221"/>
      <c r="AF79" s="221"/>
      <c r="AG79" s="146"/>
      <c r="AH79" s="146"/>
      <c r="AI79" s="146"/>
      <c r="AJ79" s="146"/>
      <c r="AK79" s="146"/>
      <c r="AL79" s="146"/>
      <c r="AM79" s="146"/>
      <c r="AN79" s="146"/>
      <c r="AO79" s="146"/>
      <c r="AP79" s="146"/>
      <c r="AQ79" s="146"/>
    </row>
    <row r="80" spans="1:43" ht="16.5" hidden="1">
      <c r="A80" s="21" t="s">
        <v>434</v>
      </c>
      <c r="B80" s="21"/>
      <c r="C80" s="21"/>
      <c r="D80" s="21"/>
      <c r="E80" s="21"/>
      <c r="F80" s="21"/>
      <c r="G80" s="21"/>
      <c r="H80" s="21"/>
      <c r="I80" s="21"/>
      <c r="J80" s="21"/>
      <c r="K80" s="21"/>
      <c r="L80" s="21"/>
      <c r="M80" s="21"/>
      <c r="N80" s="21"/>
      <c r="O80" s="21"/>
      <c r="P80" s="21"/>
      <c r="Q80" s="21"/>
      <c r="R80" s="21"/>
      <c r="S80" s="21"/>
      <c r="T80" s="204"/>
      <c r="U80" s="204"/>
      <c r="V80" s="204"/>
      <c r="W80" s="227" t="s">
        <v>464</v>
      </c>
      <c r="X80" s="229">
        <v>1</v>
      </c>
      <c r="Y80" s="229">
        <f t="shared" si="11"/>
        <v>0</v>
      </c>
      <c r="Z80" s="229">
        <f t="shared" si="12"/>
        <v>0</v>
      </c>
      <c r="AA80" s="230">
        <v>33</v>
      </c>
      <c r="AB80" s="219">
        <f t="shared" si="13"/>
        <v>0</v>
      </c>
      <c r="AC80" s="222">
        <f t="shared" si="14"/>
        <v>0</v>
      </c>
      <c r="AD80" s="221"/>
      <c r="AE80" s="221"/>
      <c r="AF80" s="221"/>
      <c r="AG80" s="146"/>
      <c r="AH80" s="146"/>
      <c r="AI80" s="146"/>
      <c r="AJ80" s="146"/>
      <c r="AK80" s="146"/>
      <c r="AL80" s="146"/>
      <c r="AM80" s="146"/>
      <c r="AN80" s="146"/>
      <c r="AO80" s="146"/>
      <c r="AP80" s="146"/>
      <c r="AQ80" s="146"/>
    </row>
    <row r="81" spans="1:43" ht="16.5" hidden="1">
      <c r="A81" s="21"/>
      <c r="B81" s="21"/>
      <c r="C81" s="21"/>
      <c r="D81" s="21"/>
      <c r="E81" s="21"/>
      <c r="F81" s="21"/>
      <c r="G81" s="21"/>
      <c r="H81" s="21"/>
      <c r="I81" s="21"/>
      <c r="J81" s="21"/>
      <c r="K81" s="21"/>
      <c r="L81" s="21"/>
      <c r="M81" s="21"/>
      <c r="N81" s="21"/>
      <c r="O81" s="21"/>
      <c r="P81" s="21"/>
      <c r="Q81" s="21"/>
      <c r="R81" s="21"/>
      <c r="S81" s="21"/>
      <c r="T81" s="204"/>
      <c r="U81" s="204"/>
      <c r="V81" s="204"/>
      <c r="W81" s="231" t="s">
        <v>465</v>
      </c>
      <c r="X81" s="229">
        <v>1</v>
      </c>
      <c r="Y81" s="229">
        <f t="shared" si="11"/>
        <v>0</v>
      </c>
      <c r="Z81" s="229">
        <f t="shared" si="12"/>
        <v>0</v>
      </c>
      <c r="AA81" s="230">
        <v>33</v>
      </c>
      <c r="AB81" s="219">
        <f t="shared" si="13"/>
        <v>0</v>
      </c>
      <c r="AC81" s="222">
        <f t="shared" si="14"/>
        <v>0</v>
      </c>
      <c r="AD81" s="222" t="s">
        <v>262</v>
      </c>
      <c r="AE81" s="222" t="s">
        <v>263</v>
      </c>
      <c r="AF81" s="222" t="s">
        <v>264</v>
      </c>
      <c r="AG81" s="146"/>
      <c r="AH81" s="146"/>
      <c r="AI81" s="146"/>
      <c r="AJ81" s="146"/>
      <c r="AK81" s="146"/>
      <c r="AL81" s="146"/>
      <c r="AM81" s="146"/>
      <c r="AN81" s="146"/>
      <c r="AO81" s="146"/>
      <c r="AP81" s="146"/>
      <c r="AQ81" s="146"/>
    </row>
    <row r="82" spans="1:43" ht="17.25" hidden="1" thickBot="1">
      <c r="A82" s="21"/>
      <c r="B82" s="21"/>
      <c r="C82" s="21"/>
      <c r="D82" s="21"/>
      <c r="E82" s="21"/>
      <c r="F82" s="21"/>
      <c r="G82" s="21"/>
      <c r="H82" s="21"/>
      <c r="I82" s="21"/>
      <c r="J82" s="21"/>
      <c r="K82" s="21"/>
      <c r="L82" s="21"/>
      <c r="M82" s="21"/>
      <c r="N82" s="21"/>
      <c r="O82" s="21"/>
      <c r="P82" s="21"/>
      <c r="Q82" s="21"/>
      <c r="R82" s="21"/>
      <c r="S82" s="21"/>
      <c r="T82" s="204"/>
      <c r="U82" s="204"/>
      <c r="V82" s="204"/>
      <c r="W82" s="223"/>
      <c r="X82" s="223"/>
      <c r="Y82" s="223">
        <f>SUM(Y53:Y81)</f>
        <v>1</v>
      </c>
      <c r="Z82" s="223">
        <f>SUM(Z53:Z81)</f>
        <v>0</v>
      </c>
      <c r="AA82" s="219"/>
      <c r="AB82" s="224">
        <f>SUM(AB53:AB81)</f>
        <v>31</v>
      </c>
      <c r="AC82" s="225">
        <f>SUM(AC53:AC81)</f>
        <v>0</v>
      </c>
      <c r="AD82" s="222">
        <f>IF(AC83=0,AA53,0)</f>
        <v>0</v>
      </c>
      <c r="AE82" s="222">
        <f>IF(AND(AC83&lt;44,AC83&gt;0),AC83,0)</f>
        <v>31</v>
      </c>
      <c r="AF82" s="222">
        <f>IF(AC83&gt;45,(AC83/2),0)</f>
        <v>0</v>
      </c>
      <c r="AG82" s="146"/>
      <c r="AH82" s="146"/>
      <c r="AI82" s="146"/>
      <c r="AJ82" s="146"/>
      <c r="AK82" s="146"/>
      <c r="AL82" s="146"/>
      <c r="AM82" s="146"/>
      <c r="AN82" s="146"/>
      <c r="AO82" s="146"/>
      <c r="AP82" s="146"/>
      <c r="AQ82" s="146"/>
    </row>
    <row r="83" spans="1:43" ht="16.5" hidden="1">
      <c r="A83" s="204"/>
      <c r="B83" s="204"/>
      <c r="C83" s="232"/>
      <c r="D83" s="232"/>
      <c r="E83" s="232"/>
      <c r="F83" s="232"/>
      <c r="G83" s="232"/>
      <c r="H83" s="232"/>
      <c r="I83" s="232"/>
      <c r="J83" s="232"/>
      <c r="K83" s="232"/>
      <c r="L83" s="232"/>
      <c r="M83" s="232"/>
      <c r="N83" s="232"/>
      <c r="O83" s="232"/>
      <c r="P83" s="232"/>
      <c r="Q83" s="232"/>
      <c r="R83" s="232"/>
      <c r="S83" s="232"/>
      <c r="T83" s="232"/>
      <c r="U83" s="232"/>
      <c r="V83" s="204"/>
      <c r="W83" s="218" t="s">
        <v>221</v>
      </c>
      <c r="X83" s="218">
        <f>IF(Z82=0,Y82,((Y82+Z82)/2))</f>
        <v>1</v>
      </c>
      <c r="Y83" s="218"/>
      <c r="Z83" s="218"/>
      <c r="AA83" s="233" t="s">
        <v>259</v>
      </c>
      <c r="AB83" s="233">
        <f>AD82+AE82+AF82</f>
        <v>31</v>
      </c>
      <c r="AC83" s="225">
        <f>AB82+AC82</f>
        <v>31</v>
      </c>
      <c r="AD83" s="221"/>
      <c r="AE83" s="221"/>
      <c r="AF83" s="221"/>
      <c r="AG83" s="146"/>
      <c r="AH83" s="146"/>
      <c r="AI83" s="146"/>
      <c r="AJ83" s="146"/>
      <c r="AK83" s="146"/>
      <c r="AL83" s="146"/>
      <c r="AM83" s="146"/>
      <c r="AN83" s="146"/>
      <c r="AO83" s="146"/>
      <c r="AP83" s="146"/>
      <c r="AQ83" s="146"/>
    </row>
    <row r="84" spans="1:43" ht="17.25" hidden="1" thickBot="1">
      <c r="A84" s="204"/>
      <c r="B84" s="204"/>
      <c r="C84" s="204"/>
      <c r="D84" s="204"/>
      <c r="E84" s="204"/>
      <c r="F84" s="204"/>
      <c r="G84" s="204"/>
      <c r="H84" s="204"/>
      <c r="I84" s="204"/>
      <c r="J84" s="204"/>
      <c r="K84" s="204"/>
      <c r="L84" s="204"/>
      <c r="M84" s="204"/>
      <c r="N84" s="204"/>
      <c r="O84" s="204"/>
      <c r="P84" s="204"/>
      <c r="Q84" s="204"/>
      <c r="R84" s="204"/>
      <c r="S84" s="204"/>
      <c r="T84" s="204"/>
      <c r="U84" s="204"/>
      <c r="V84" s="204"/>
      <c r="W84" s="205"/>
      <c r="X84" s="205"/>
      <c r="Y84" s="205"/>
      <c r="Z84" s="205"/>
      <c r="AA84" s="234" t="s">
        <v>236</v>
      </c>
      <c r="AB84" s="235" t="s">
        <v>322</v>
      </c>
      <c r="AC84" s="235"/>
      <c r="AD84" s="146"/>
      <c r="AE84" s="146"/>
      <c r="AF84" s="146"/>
      <c r="AG84" s="146"/>
      <c r="AH84" s="146"/>
      <c r="AI84" s="146"/>
      <c r="AJ84" s="146"/>
      <c r="AK84" s="146"/>
      <c r="AL84" s="146"/>
      <c r="AM84" s="146"/>
      <c r="AN84" s="146"/>
      <c r="AO84" s="146"/>
      <c r="AP84" s="146"/>
      <c r="AQ84" s="146"/>
    </row>
    <row r="85" spans="1:43" ht="16.5" hidden="1">
      <c r="A85" s="236" t="s">
        <v>245</v>
      </c>
      <c r="B85" s="371" t="s">
        <v>316</v>
      </c>
      <c r="C85" s="371"/>
      <c r="D85" s="371"/>
      <c r="E85" s="371"/>
      <c r="F85" s="371"/>
      <c r="G85" s="371"/>
      <c r="H85" s="371"/>
      <c r="I85" s="371"/>
      <c r="J85" s="371"/>
      <c r="K85" s="371"/>
      <c r="L85" s="371"/>
      <c r="M85" s="237"/>
      <c r="N85" s="237"/>
      <c r="O85" s="237"/>
      <c r="P85" s="237"/>
      <c r="Q85" s="237"/>
      <c r="R85" s="237"/>
      <c r="S85" s="204"/>
      <c r="T85" s="204"/>
      <c r="U85" s="204"/>
      <c r="V85" s="205"/>
      <c r="W85" s="205"/>
      <c r="X85" s="205"/>
      <c r="Y85" s="205"/>
      <c r="Z85" s="205"/>
      <c r="AA85" s="238">
        <v>2</v>
      </c>
      <c r="AB85" s="239" t="s">
        <v>233</v>
      </c>
      <c r="AC85" s="239">
        <f>(((B6/2.2)^0.75*(0.04997*((G30/45.45)^2)+0.04631)/(G30/45.45))+0.2*B112)*2.2</f>
        <v>26.87452479620616</v>
      </c>
      <c r="AD85" s="146"/>
      <c r="AE85" s="146"/>
      <c r="AF85" s="146"/>
      <c r="AG85" s="146"/>
      <c r="AH85" s="146"/>
      <c r="AI85" s="146"/>
      <c r="AJ85" s="146"/>
      <c r="AK85" s="146"/>
      <c r="AL85" s="146"/>
      <c r="AM85" s="146"/>
      <c r="AN85" s="146"/>
      <c r="AO85" s="146"/>
      <c r="AP85" s="146"/>
      <c r="AQ85" s="146"/>
    </row>
    <row r="86" spans="1:43" ht="16.5" hidden="1">
      <c r="A86" s="240" t="s">
        <v>246</v>
      </c>
      <c r="B86" s="241"/>
      <c r="C86" s="241"/>
      <c r="D86" s="241"/>
      <c r="E86" s="242"/>
      <c r="F86" s="242"/>
      <c r="G86" s="241"/>
      <c r="H86" s="241"/>
      <c r="I86" s="241"/>
      <c r="J86" s="241"/>
      <c r="K86" s="241"/>
      <c r="L86" s="241"/>
      <c r="M86" s="237"/>
      <c r="N86" s="237"/>
      <c r="O86" s="237"/>
      <c r="P86" s="237"/>
      <c r="Q86" s="237"/>
      <c r="R86" s="237"/>
      <c r="S86" s="204"/>
      <c r="T86" s="204"/>
      <c r="U86" s="204"/>
      <c r="V86" s="205"/>
      <c r="W86" s="205"/>
      <c r="X86" s="205"/>
      <c r="Y86" s="205"/>
      <c r="Z86" s="205"/>
      <c r="AA86" s="238">
        <v>1</v>
      </c>
      <c r="AB86" s="239" t="s">
        <v>234</v>
      </c>
      <c r="AC86" s="239">
        <f>(((B6/2.2)^0.75*(0.04997*((G30/45.45)^2)+0.0384)/(G30/45.45))+0.2*B112)*2.2</f>
        <v>24.430372793740684</v>
      </c>
      <c r="AD86" s="146"/>
      <c r="AE86" s="146"/>
      <c r="AF86" s="146"/>
      <c r="AG86" s="146"/>
      <c r="AH86" s="146"/>
      <c r="AI86" s="146"/>
      <c r="AJ86" s="146"/>
      <c r="AK86" s="146"/>
      <c r="AL86" s="146"/>
      <c r="AM86" s="146"/>
      <c r="AN86" s="146"/>
      <c r="AO86" s="146"/>
      <c r="AP86" s="146"/>
      <c r="AQ86" s="146"/>
    </row>
    <row r="87" spans="1:43" ht="16.5" hidden="1">
      <c r="A87" s="240" t="s">
        <v>247</v>
      </c>
      <c r="B87" s="243" t="s">
        <v>435</v>
      </c>
      <c r="C87" s="370" t="s">
        <v>432</v>
      </c>
      <c r="D87" s="370"/>
      <c r="E87" s="244"/>
      <c r="F87" s="244"/>
      <c r="G87" s="245">
        <f>VLOOKUP(B9,B88:D104,2)</f>
        <v>89.80000000000001</v>
      </c>
      <c r="H87" s="241" t="s">
        <v>437</v>
      </c>
      <c r="I87" s="241"/>
      <c r="J87" s="241"/>
      <c r="K87" s="241"/>
      <c r="L87" s="241"/>
      <c r="M87" s="237"/>
      <c r="N87" s="237"/>
      <c r="O87" s="237"/>
      <c r="P87" s="237"/>
      <c r="Q87" s="237"/>
      <c r="R87" s="237"/>
      <c r="S87" s="204"/>
      <c r="T87" s="246" t="s">
        <v>265</v>
      </c>
      <c r="U87" s="246"/>
      <c r="V87" s="220"/>
      <c r="W87" s="220"/>
      <c r="X87" s="205"/>
      <c r="Y87" s="205"/>
      <c r="Z87" s="205"/>
      <c r="AA87" s="205"/>
      <c r="AB87" s="247" t="s">
        <v>235</v>
      </c>
      <c r="AC87" s="239"/>
      <c r="AD87" s="146"/>
      <c r="AE87" s="146"/>
      <c r="AF87" s="146"/>
      <c r="AG87" s="146"/>
      <c r="AH87" s="146"/>
      <c r="AI87" s="146"/>
      <c r="AJ87" s="146"/>
      <c r="AK87" s="146"/>
      <c r="AL87" s="146"/>
      <c r="AM87" s="146"/>
      <c r="AN87" s="146"/>
      <c r="AO87" s="146"/>
      <c r="AP87" s="146"/>
      <c r="AQ87" s="146"/>
    </row>
    <row r="88" spans="1:43" ht="16.5" hidden="1">
      <c r="A88" s="240" t="s">
        <v>248</v>
      </c>
      <c r="B88" s="248">
        <v>1</v>
      </c>
      <c r="C88" s="370">
        <v>76.5</v>
      </c>
      <c r="D88" s="370"/>
      <c r="E88" s="243"/>
      <c r="F88" s="243"/>
      <c r="G88" s="245">
        <f>VLOOKUP(B10,B88:D104,2)</f>
        <v>89.80000000000001</v>
      </c>
      <c r="H88" s="241" t="s">
        <v>438</v>
      </c>
      <c r="I88" s="241"/>
      <c r="J88" s="241"/>
      <c r="K88" s="241"/>
      <c r="L88" s="241"/>
      <c r="M88" s="237"/>
      <c r="N88" s="237"/>
      <c r="O88" s="237"/>
      <c r="P88" s="237"/>
      <c r="Q88" s="237"/>
      <c r="R88" s="237"/>
      <c r="S88" s="204"/>
      <c r="T88" s="246"/>
      <c r="U88" s="246"/>
      <c r="V88" s="219" t="s">
        <v>271</v>
      </c>
      <c r="W88" s="219" t="s">
        <v>272</v>
      </c>
      <c r="X88" s="249"/>
      <c r="Y88" s="250"/>
      <c r="Z88" s="205"/>
      <c r="AA88" s="251" t="s">
        <v>238</v>
      </c>
      <c r="AB88" s="247">
        <v>1</v>
      </c>
      <c r="AC88" s="239">
        <f aca="true" t="shared" si="15" ref="AC88:AC94">IF($B$7=AA88,AB88,0)</f>
        <v>0</v>
      </c>
      <c r="AD88" s="146"/>
      <c r="AE88" s="146"/>
      <c r="AF88" s="146"/>
      <c r="AG88" s="146"/>
      <c r="AH88" s="146"/>
      <c r="AI88" s="146"/>
      <c r="AJ88" s="146"/>
      <c r="AK88" s="146"/>
      <c r="AL88" s="146"/>
      <c r="AM88" s="146"/>
      <c r="AN88" s="146"/>
      <c r="AO88" s="146"/>
      <c r="AP88" s="146"/>
      <c r="AQ88" s="146"/>
    </row>
    <row r="89" spans="1:43" ht="16.5" hidden="1">
      <c r="A89" s="240" t="s">
        <v>249</v>
      </c>
      <c r="B89" s="248">
        <v>1.5</v>
      </c>
      <c r="C89" s="370">
        <f>AVERAGE(C88,C90)</f>
        <v>78.9</v>
      </c>
      <c r="D89" s="370"/>
      <c r="E89" s="243"/>
      <c r="F89" s="243"/>
      <c r="G89" s="245">
        <f>(G88-G87)</f>
        <v>0</v>
      </c>
      <c r="H89" s="241" t="s">
        <v>439</v>
      </c>
      <c r="I89" s="241"/>
      <c r="J89" s="241"/>
      <c r="K89" s="241"/>
      <c r="L89" s="241"/>
      <c r="M89" s="237"/>
      <c r="N89" s="237"/>
      <c r="O89" s="237"/>
      <c r="P89" s="237"/>
      <c r="Q89" s="237"/>
      <c r="R89" s="237"/>
      <c r="S89" s="204"/>
      <c r="T89" s="252" t="s">
        <v>266</v>
      </c>
      <c r="U89" s="252"/>
      <c r="V89" s="253">
        <f>0.0154*(B6/2.2)/0.5</f>
        <v>19.599999999999998</v>
      </c>
      <c r="W89" s="253">
        <f>0.016*(B6/2.2)/0.68</f>
        <v>14.973262032085557</v>
      </c>
      <c r="X89" s="249"/>
      <c r="Y89" s="250"/>
      <c r="Z89" s="205"/>
      <c r="AA89" s="251" t="s">
        <v>239</v>
      </c>
      <c r="AB89" s="247">
        <v>1</v>
      </c>
      <c r="AC89" s="239">
        <f t="shared" si="15"/>
        <v>0</v>
      </c>
      <c r="AD89" s="146"/>
      <c r="AE89" s="146"/>
      <c r="AF89" s="146"/>
      <c r="AG89" s="146"/>
      <c r="AH89" s="146"/>
      <c r="AI89" s="146"/>
      <c r="AJ89" s="146"/>
      <c r="AK89" s="146"/>
      <c r="AL89" s="146"/>
      <c r="AM89" s="146"/>
      <c r="AN89" s="146"/>
      <c r="AO89" s="146"/>
      <c r="AP89" s="146"/>
      <c r="AQ89" s="146"/>
    </row>
    <row r="90" spans="1:43" ht="16.5" hidden="1">
      <c r="A90" s="240" t="s">
        <v>250</v>
      </c>
      <c r="B90" s="243">
        <v>2</v>
      </c>
      <c r="C90" s="370">
        <v>81.3</v>
      </c>
      <c r="D90" s="370"/>
      <c r="E90" s="243"/>
      <c r="F90" s="243"/>
      <c r="G90" s="245">
        <f>B6*(G89/100)</f>
        <v>0</v>
      </c>
      <c r="H90" s="241" t="s">
        <v>440</v>
      </c>
      <c r="I90" s="241"/>
      <c r="J90" s="241"/>
      <c r="K90" s="241"/>
      <c r="L90" s="241"/>
      <c r="M90" s="237"/>
      <c r="N90" s="237"/>
      <c r="O90" s="237"/>
      <c r="P90" s="237"/>
      <c r="Q90" s="237"/>
      <c r="R90" s="237"/>
      <c r="S90" s="204"/>
      <c r="T90" s="252" t="s">
        <v>267</v>
      </c>
      <c r="U90" s="252"/>
      <c r="V90" s="253">
        <f>U99*0.071/0.5</f>
        <v>0</v>
      </c>
      <c r="W90" s="254">
        <f>U99*0.045/0.68</f>
        <v>0</v>
      </c>
      <c r="X90" s="249"/>
      <c r="Y90" s="250"/>
      <c r="Z90" s="146"/>
      <c r="AA90" s="251" t="s">
        <v>240</v>
      </c>
      <c r="AB90" s="239">
        <v>2</v>
      </c>
      <c r="AC90" s="239">
        <f t="shared" si="15"/>
        <v>0</v>
      </c>
      <c r="AD90" s="146"/>
      <c r="AE90" s="146"/>
      <c r="AF90" s="146"/>
      <c r="AG90" s="146"/>
      <c r="AH90" s="146"/>
      <c r="AI90" s="146"/>
      <c r="AJ90" s="146"/>
      <c r="AK90" s="146"/>
      <c r="AL90" s="146"/>
      <c r="AM90" s="146"/>
      <c r="AN90" s="146"/>
      <c r="AO90" s="146"/>
      <c r="AP90" s="146"/>
      <c r="AQ90" s="146"/>
    </row>
    <row r="91" spans="1:43" ht="16.5" hidden="1">
      <c r="A91" s="240" t="s">
        <v>251</v>
      </c>
      <c r="B91" s="243">
        <v>2.5</v>
      </c>
      <c r="C91" s="370">
        <f>AVERAGE(C90,C92)</f>
        <v>84</v>
      </c>
      <c r="D91" s="370"/>
      <c r="E91" s="243"/>
      <c r="F91" s="243"/>
      <c r="G91" s="245">
        <f>(G90/2.2)*5.82</f>
        <v>0</v>
      </c>
      <c r="H91" s="241" t="s">
        <v>441</v>
      </c>
      <c r="I91" s="241"/>
      <c r="J91" s="241"/>
      <c r="K91" s="241"/>
      <c r="L91" s="241"/>
      <c r="M91" s="237"/>
      <c r="N91" s="237"/>
      <c r="O91" s="237"/>
      <c r="P91" s="237"/>
      <c r="Q91" s="237"/>
      <c r="R91" s="237"/>
      <c r="S91" s="204"/>
      <c r="T91" s="252" t="s">
        <v>268</v>
      </c>
      <c r="U91" s="252"/>
      <c r="V91" s="254">
        <f>B112*1.23/0.5</f>
        <v>0</v>
      </c>
      <c r="W91" s="254">
        <f>B112*0.95/0.68</f>
        <v>0</v>
      </c>
      <c r="X91" s="249"/>
      <c r="Y91" s="250"/>
      <c r="Z91" s="146"/>
      <c r="AA91" s="255" t="s">
        <v>241</v>
      </c>
      <c r="AB91" s="239">
        <v>2</v>
      </c>
      <c r="AC91" s="239">
        <f t="shared" si="15"/>
        <v>0</v>
      </c>
      <c r="AD91" s="146"/>
      <c r="AE91" s="146"/>
      <c r="AF91" s="146"/>
      <c r="AG91" s="146"/>
      <c r="AH91" s="146"/>
      <c r="AI91" s="146"/>
      <c r="AJ91" s="146"/>
      <c r="AK91" s="146"/>
      <c r="AL91" s="146"/>
      <c r="AM91" s="146"/>
      <c r="AN91" s="146"/>
      <c r="AO91" s="146"/>
      <c r="AP91" s="146"/>
      <c r="AQ91" s="146"/>
    </row>
    <row r="92" spans="1:43" ht="16.5" hidden="1">
      <c r="A92" s="256" t="s">
        <v>252</v>
      </c>
      <c r="B92" s="248">
        <v>3</v>
      </c>
      <c r="C92" s="370">
        <v>86.7</v>
      </c>
      <c r="D92" s="370"/>
      <c r="E92" s="243"/>
      <c r="F92" s="243"/>
      <c r="G92" s="245">
        <f>G91/P7</f>
        <v>0</v>
      </c>
      <c r="H92" s="241" t="s">
        <v>442</v>
      </c>
      <c r="I92" s="241"/>
      <c r="J92" s="241"/>
      <c r="K92" s="241"/>
      <c r="L92" s="241"/>
      <c r="M92" s="257"/>
      <c r="N92" s="257"/>
      <c r="O92" s="257"/>
      <c r="P92" s="257"/>
      <c r="Q92" s="257"/>
      <c r="R92" s="257"/>
      <c r="S92" s="258"/>
      <c r="T92" s="252" t="s">
        <v>269</v>
      </c>
      <c r="U92" s="259"/>
      <c r="V92" s="254">
        <f>V95+V96+V97</f>
        <v>0</v>
      </c>
      <c r="W92" s="254">
        <f>W95+W96+W97</f>
        <v>0</v>
      </c>
      <c r="X92" s="249"/>
      <c r="Y92" s="250"/>
      <c r="Z92" s="146"/>
      <c r="AA92" s="255" t="s">
        <v>242</v>
      </c>
      <c r="AB92" s="239">
        <v>2</v>
      </c>
      <c r="AC92" s="239">
        <f t="shared" si="15"/>
        <v>0</v>
      </c>
      <c r="AD92" s="146"/>
      <c r="AE92" s="146"/>
      <c r="AF92" s="146"/>
      <c r="AG92" s="146"/>
      <c r="AH92" s="146"/>
      <c r="AI92" s="146"/>
      <c r="AJ92" s="146"/>
      <c r="AK92" s="146"/>
      <c r="AL92" s="146"/>
      <c r="AM92" s="146"/>
      <c r="AN92" s="146"/>
      <c r="AO92" s="146"/>
      <c r="AP92" s="146"/>
      <c r="AQ92" s="146"/>
    </row>
    <row r="93" spans="1:43" ht="15" hidden="1">
      <c r="A93" s="256" t="s">
        <v>253</v>
      </c>
      <c r="B93" s="248">
        <v>3.5</v>
      </c>
      <c r="C93" s="370">
        <f>AVERAGE(C92,C94)</f>
        <v>89.80000000000001</v>
      </c>
      <c r="D93" s="370"/>
      <c r="E93" s="243"/>
      <c r="F93" s="243"/>
      <c r="G93" s="245"/>
      <c r="H93" s="241"/>
      <c r="I93" s="241"/>
      <c r="J93" s="241"/>
      <c r="K93" s="241"/>
      <c r="L93" s="241"/>
      <c r="M93" s="257"/>
      <c r="N93" s="257"/>
      <c r="O93" s="257"/>
      <c r="P93" s="257"/>
      <c r="Q93" s="257"/>
      <c r="R93" s="257"/>
      <c r="S93" s="258"/>
      <c r="T93" s="260" t="s">
        <v>270</v>
      </c>
      <c r="U93" s="260"/>
      <c r="V93" s="221"/>
      <c r="W93" s="221"/>
      <c r="X93" s="249"/>
      <c r="Y93" s="250"/>
      <c r="Z93" s="146"/>
      <c r="AA93" s="255" t="s">
        <v>243</v>
      </c>
      <c r="AB93" s="239">
        <v>2</v>
      </c>
      <c r="AC93" s="239">
        <f t="shared" si="15"/>
        <v>0</v>
      </c>
      <c r="AD93" s="146"/>
      <c r="AE93" s="146"/>
      <c r="AF93" s="146"/>
      <c r="AG93" s="146"/>
      <c r="AH93" s="146"/>
      <c r="AI93" s="146"/>
      <c r="AJ93" s="146"/>
      <c r="AK93" s="146"/>
      <c r="AL93" s="146"/>
      <c r="AM93" s="146"/>
      <c r="AN93" s="146"/>
      <c r="AO93" s="146"/>
      <c r="AP93" s="146"/>
      <c r="AQ93" s="146"/>
    </row>
    <row r="94" spans="1:43" ht="15" hidden="1">
      <c r="A94" s="261"/>
      <c r="B94" s="243">
        <v>4</v>
      </c>
      <c r="C94" s="370">
        <v>92.9</v>
      </c>
      <c r="D94" s="370"/>
      <c r="E94" s="243"/>
      <c r="F94" s="243"/>
      <c r="G94" s="245">
        <f>G90/2.2*81</f>
        <v>0</v>
      </c>
      <c r="H94" s="241" t="s">
        <v>443</v>
      </c>
      <c r="I94" s="241"/>
      <c r="J94" s="241"/>
      <c r="K94" s="241"/>
      <c r="L94" s="241"/>
      <c r="M94" s="257"/>
      <c r="N94" s="257"/>
      <c r="O94" s="257"/>
      <c r="P94" s="257"/>
      <c r="Q94" s="257"/>
      <c r="R94" s="257"/>
      <c r="S94" s="258"/>
      <c r="T94" s="260" t="s">
        <v>273</v>
      </c>
      <c r="U94" s="260"/>
      <c r="V94" s="221">
        <f>AB83*(13.7/90)/0.5</f>
        <v>9.437777777777777</v>
      </c>
      <c r="W94" s="221">
        <f>AB83*(7.6/90)/0.68</f>
        <v>3.849673202614379</v>
      </c>
      <c r="X94" s="258"/>
      <c r="Y94" s="262"/>
      <c r="Z94" s="146"/>
      <c r="AA94" s="255" t="s">
        <v>196</v>
      </c>
      <c r="AB94" s="239">
        <v>2</v>
      </c>
      <c r="AC94" s="239">
        <f t="shared" si="15"/>
        <v>2</v>
      </c>
      <c r="AD94" s="146"/>
      <c r="AE94" s="146"/>
      <c r="AF94" s="146"/>
      <c r="AG94" s="146"/>
      <c r="AH94" s="146"/>
      <c r="AI94" s="146"/>
      <c r="AJ94" s="146"/>
      <c r="AK94" s="146"/>
      <c r="AL94" s="146"/>
      <c r="AM94" s="146"/>
      <c r="AN94" s="146"/>
      <c r="AO94" s="146"/>
      <c r="AP94" s="146"/>
      <c r="AQ94" s="146"/>
    </row>
    <row r="95" spans="1:43" ht="15" hidden="1">
      <c r="A95" s="261"/>
      <c r="B95" s="243">
        <v>4.5</v>
      </c>
      <c r="C95" s="370">
        <f>AVERAGE(C94,C96)</f>
        <v>96.45</v>
      </c>
      <c r="D95" s="370"/>
      <c r="E95" s="243"/>
      <c r="F95" s="243"/>
      <c r="G95" s="263">
        <f>G94/P7</f>
        <v>0</v>
      </c>
      <c r="H95" s="241" t="s">
        <v>444</v>
      </c>
      <c r="I95" s="241"/>
      <c r="J95" s="241"/>
      <c r="K95" s="241"/>
      <c r="L95" s="241"/>
      <c r="M95" s="257"/>
      <c r="N95" s="257"/>
      <c r="O95" s="257"/>
      <c r="P95" s="257"/>
      <c r="Q95" s="257"/>
      <c r="R95" s="257"/>
      <c r="S95" s="258"/>
      <c r="T95" s="264" t="s">
        <v>251</v>
      </c>
      <c r="U95" s="260"/>
      <c r="V95" s="221">
        <f>IF($B$8=T95,$V$94,0)</f>
        <v>0</v>
      </c>
      <c r="W95" s="221">
        <f>IF($B$8=T95,$W$94,0)</f>
        <v>0</v>
      </c>
      <c r="X95" s="258"/>
      <c r="Y95" s="262"/>
      <c r="Z95" s="146"/>
      <c r="AA95" s="265"/>
      <c r="AB95" s="239"/>
      <c r="AC95" s="239"/>
      <c r="AD95" s="146"/>
      <c r="AE95" s="146"/>
      <c r="AF95" s="146"/>
      <c r="AG95" s="146"/>
      <c r="AH95" s="146"/>
      <c r="AI95" s="146"/>
      <c r="AJ95" s="146"/>
      <c r="AK95" s="146"/>
      <c r="AL95" s="146"/>
      <c r="AM95" s="146"/>
      <c r="AN95" s="146"/>
      <c r="AO95" s="146"/>
      <c r="AP95" s="146"/>
      <c r="AQ95" s="146"/>
    </row>
    <row r="96" spans="1:43" ht="15" hidden="1">
      <c r="A96" s="261"/>
      <c r="B96" s="248">
        <v>5</v>
      </c>
      <c r="C96" s="370">
        <v>100</v>
      </c>
      <c r="D96" s="370"/>
      <c r="E96" s="243"/>
      <c r="F96" s="243"/>
      <c r="G96" s="241"/>
      <c r="H96" s="241"/>
      <c r="I96" s="241"/>
      <c r="J96" s="241"/>
      <c r="K96" s="241"/>
      <c r="L96" s="241"/>
      <c r="M96" s="257"/>
      <c r="N96" s="257"/>
      <c r="O96" s="257"/>
      <c r="P96" s="257"/>
      <c r="Q96" s="257"/>
      <c r="R96" s="257"/>
      <c r="S96" s="258"/>
      <c r="T96" s="266" t="s">
        <v>252</v>
      </c>
      <c r="U96" s="260"/>
      <c r="V96" s="221">
        <f>IF($B$8=T96,$V$94,0)</f>
        <v>0</v>
      </c>
      <c r="W96" s="221">
        <f>IF($B$8=T96,$W$94,0)</f>
        <v>0</v>
      </c>
      <c r="X96" s="258"/>
      <c r="Y96" s="262"/>
      <c r="Z96" s="146"/>
      <c r="AA96" s="146"/>
      <c r="AB96" s="239" t="s">
        <v>237</v>
      </c>
      <c r="AC96" s="239">
        <f>SUM(AC88:AC95)</f>
        <v>2</v>
      </c>
      <c r="AD96" s="146"/>
      <c r="AE96" s="146"/>
      <c r="AF96" s="146"/>
      <c r="AG96" s="146"/>
      <c r="AH96" s="146"/>
      <c r="AI96" s="146"/>
      <c r="AJ96" s="146"/>
      <c r="AK96" s="146"/>
      <c r="AL96" s="146"/>
      <c r="AM96" s="146"/>
      <c r="AN96" s="146"/>
      <c r="AO96" s="146"/>
      <c r="AP96" s="146"/>
      <c r="AQ96" s="146"/>
    </row>
    <row r="97" spans="1:43" ht="15" hidden="1">
      <c r="A97" s="261"/>
      <c r="B97" s="248">
        <v>5.5</v>
      </c>
      <c r="C97" s="370">
        <f>AVERAGE(C96,C98)</f>
        <v>104.15</v>
      </c>
      <c r="D97" s="370"/>
      <c r="E97" s="243"/>
      <c r="F97" s="243"/>
      <c r="G97" s="241" t="s">
        <v>445</v>
      </c>
      <c r="H97" s="241"/>
      <c r="I97" s="241"/>
      <c r="J97" s="241"/>
      <c r="K97" s="241"/>
      <c r="L97" s="241"/>
      <c r="M97" s="257"/>
      <c r="N97" s="257"/>
      <c r="O97" s="257"/>
      <c r="P97" s="257"/>
      <c r="Q97" s="257"/>
      <c r="R97" s="257"/>
      <c r="S97" s="258"/>
      <c r="T97" s="266" t="s">
        <v>253</v>
      </c>
      <c r="U97" s="260"/>
      <c r="V97" s="221">
        <f>IF($B$8=T97,$V$94,0)</f>
        <v>0</v>
      </c>
      <c r="W97" s="221">
        <f>IF($B$8=T97,$W$94,0)</f>
        <v>0</v>
      </c>
      <c r="X97" s="258"/>
      <c r="Y97" s="262"/>
      <c r="Z97" s="146"/>
      <c r="AA97" s="146"/>
      <c r="AB97" s="203"/>
      <c r="AC97" s="203"/>
      <c r="AD97" s="146"/>
      <c r="AE97" s="146"/>
      <c r="AF97" s="146"/>
      <c r="AG97" s="146"/>
      <c r="AH97" s="146"/>
      <c r="AI97" s="146"/>
      <c r="AJ97" s="146"/>
      <c r="AK97" s="146"/>
      <c r="AL97" s="146"/>
      <c r="AM97" s="146"/>
      <c r="AN97" s="146"/>
      <c r="AO97" s="146"/>
      <c r="AP97" s="146"/>
      <c r="AQ97" s="146"/>
    </row>
    <row r="98" spans="1:43" ht="15" hidden="1">
      <c r="A98" s="261"/>
      <c r="B98" s="243">
        <v>6</v>
      </c>
      <c r="C98" s="370">
        <v>108.3</v>
      </c>
      <c r="D98" s="370"/>
      <c r="E98" s="243"/>
      <c r="F98" s="243"/>
      <c r="G98" s="241" t="s">
        <v>446</v>
      </c>
      <c r="H98" s="241"/>
      <c r="I98" s="241"/>
      <c r="J98" s="241"/>
      <c r="K98" s="241"/>
      <c r="L98" s="241"/>
      <c r="M98" s="257"/>
      <c r="N98" s="257"/>
      <c r="O98" s="257"/>
      <c r="P98" s="257"/>
      <c r="Q98" s="257"/>
      <c r="R98" s="257"/>
      <c r="S98" s="258"/>
      <c r="T98" s="258" t="s">
        <v>274</v>
      </c>
      <c r="U98" s="258">
        <f>G90/P7</f>
        <v>0</v>
      </c>
      <c r="V98" s="146" t="s">
        <v>276</v>
      </c>
      <c r="W98" s="146"/>
      <c r="X98" s="258"/>
      <c r="Y98" s="262"/>
      <c r="Z98" s="146"/>
      <c r="AA98" s="146"/>
      <c r="AB98" s="203"/>
      <c r="AC98" s="203"/>
      <c r="AD98" s="146"/>
      <c r="AE98" s="146"/>
      <c r="AF98" s="146"/>
      <c r="AG98" s="146"/>
      <c r="AH98" s="146"/>
      <c r="AI98" s="146"/>
      <c r="AJ98" s="146"/>
      <c r="AK98" s="146"/>
      <c r="AL98" s="146"/>
      <c r="AM98" s="146"/>
      <c r="AN98" s="146"/>
      <c r="AO98" s="146"/>
      <c r="AP98" s="146"/>
      <c r="AQ98" s="146"/>
    </row>
    <row r="99" spans="1:43" ht="15" hidden="1">
      <c r="A99" s="146"/>
      <c r="B99" s="243">
        <v>6.5</v>
      </c>
      <c r="C99" s="370">
        <f>AVERAGE(C98,C100)</f>
        <v>113.19999999999999</v>
      </c>
      <c r="D99" s="370"/>
      <c r="E99" s="243"/>
      <c r="F99" s="243"/>
      <c r="G99" s="241"/>
      <c r="H99" s="241"/>
      <c r="I99" s="241"/>
      <c r="J99" s="241"/>
      <c r="K99" s="241"/>
      <c r="L99" s="241"/>
      <c r="M99" s="257"/>
      <c r="N99" s="257"/>
      <c r="O99" s="257"/>
      <c r="P99" s="257"/>
      <c r="Q99" s="257"/>
      <c r="R99" s="257"/>
      <c r="S99" s="258"/>
      <c r="T99" s="258" t="s">
        <v>275</v>
      </c>
      <c r="U99" s="258">
        <f>(U98/2.2)*81</f>
        <v>0</v>
      </c>
      <c r="V99" s="146" t="s">
        <v>277</v>
      </c>
      <c r="W99" s="146"/>
      <c r="X99" s="258"/>
      <c r="Y99" s="262"/>
      <c r="Z99" s="146"/>
      <c r="AA99" s="146"/>
      <c r="AB99" s="203"/>
      <c r="AC99" s="203"/>
      <c r="AD99" s="146"/>
      <c r="AE99" s="146"/>
      <c r="AF99" s="146"/>
      <c r="AG99" s="146"/>
      <c r="AH99" s="146"/>
      <c r="AI99" s="146"/>
      <c r="AJ99" s="146"/>
      <c r="AK99" s="146"/>
      <c r="AL99" s="146"/>
      <c r="AM99" s="146"/>
      <c r="AN99" s="146"/>
      <c r="AO99" s="146"/>
      <c r="AP99" s="146"/>
      <c r="AQ99" s="146"/>
    </row>
    <row r="100" spans="1:43" ht="15" hidden="1">
      <c r="A100" s="146"/>
      <c r="B100" s="248">
        <v>7</v>
      </c>
      <c r="C100" s="370">
        <v>118.1</v>
      </c>
      <c r="D100" s="370"/>
      <c r="E100" s="243"/>
      <c r="F100" s="243"/>
      <c r="G100" s="241"/>
      <c r="H100" s="241"/>
      <c r="I100" s="241"/>
      <c r="J100" s="241"/>
      <c r="K100" s="241"/>
      <c r="L100" s="241"/>
      <c r="M100" s="257"/>
      <c r="N100" s="257"/>
      <c r="O100" s="257"/>
      <c r="P100" s="257"/>
      <c r="Q100" s="257"/>
      <c r="R100" s="257"/>
      <c r="S100" s="258"/>
      <c r="T100" s="267" t="s">
        <v>278</v>
      </c>
      <c r="U100" s="267"/>
      <c r="V100" s="268">
        <f>((V89+V90+V91+V92)/1000*2.2)/D30*100</f>
        <v>0.14995266233042273</v>
      </c>
      <c r="W100" s="146"/>
      <c r="X100" s="146"/>
      <c r="Y100" s="146"/>
      <c r="Z100" s="146"/>
      <c r="AA100" s="146"/>
      <c r="AB100" s="203"/>
      <c r="AC100" s="203"/>
      <c r="AD100" s="146"/>
      <c r="AE100" s="146"/>
      <c r="AF100" s="146"/>
      <c r="AG100" s="146"/>
      <c r="AH100" s="146"/>
      <c r="AI100" s="146"/>
      <c r="AJ100" s="146"/>
      <c r="AK100" s="146"/>
      <c r="AL100" s="146"/>
      <c r="AM100" s="146"/>
      <c r="AN100" s="146"/>
      <c r="AO100" s="146"/>
      <c r="AP100" s="146"/>
      <c r="AQ100" s="146"/>
    </row>
    <row r="101" spans="1:43" ht="15" hidden="1">
      <c r="A101" s="146"/>
      <c r="B101" s="248">
        <v>7.5</v>
      </c>
      <c r="C101" s="370">
        <f>AVERAGE(C100,C102)</f>
        <v>124</v>
      </c>
      <c r="D101" s="370"/>
      <c r="E101" s="243"/>
      <c r="F101" s="243"/>
      <c r="G101" s="241"/>
      <c r="H101" s="269" t="s">
        <v>190</v>
      </c>
      <c r="I101" s="269"/>
      <c r="J101" s="269"/>
      <c r="K101" s="269"/>
      <c r="L101" s="269"/>
      <c r="M101" s="365">
        <f>B6/(G87/100)</f>
        <v>1559.0200445434295</v>
      </c>
      <c r="N101" s="366"/>
      <c r="O101" s="257"/>
      <c r="P101" s="257"/>
      <c r="Q101" s="257"/>
      <c r="R101" s="257"/>
      <c r="S101" s="258"/>
      <c r="T101" s="267" t="s">
        <v>279</v>
      </c>
      <c r="U101" s="267"/>
      <c r="V101" s="268">
        <f>((W89+W90+W91+W92)/1000*2.2)/D30*100</f>
        <v>0.11455512783072778</v>
      </c>
      <c r="W101" s="146"/>
      <c r="X101" s="146"/>
      <c r="Y101" s="146"/>
      <c r="Z101" s="146"/>
      <c r="AA101" s="146"/>
      <c r="AB101" s="203"/>
      <c r="AC101" s="203"/>
      <c r="AD101" s="146"/>
      <c r="AE101" s="146"/>
      <c r="AF101" s="146"/>
      <c r="AG101" s="146"/>
      <c r="AH101" s="146"/>
      <c r="AI101" s="146"/>
      <c r="AJ101" s="146"/>
      <c r="AK101" s="146"/>
      <c r="AL101" s="146"/>
      <c r="AM101" s="146"/>
      <c r="AN101" s="146"/>
      <c r="AO101" s="146"/>
      <c r="AP101" s="146"/>
      <c r="AQ101" s="146"/>
    </row>
    <row r="102" spans="1:43" ht="15" hidden="1">
      <c r="A102" s="146"/>
      <c r="B102" s="243">
        <v>8</v>
      </c>
      <c r="C102" s="370">
        <v>129.9</v>
      </c>
      <c r="D102" s="370"/>
      <c r="E102" s="243"/>
      <c r="F102" s="243"/>
      <c r="G102" s="241"/>
      <c r="H102" s="241"/>
      <c r="I102" s="241"/>
      <c r="J102" s="241"/>
      <c r="K102" s="241"/>
      <c r="L102" s="241"/>
      <c r="M102" s="257"/>
      <c r="N102" s="257"/>
      <c r="O102" s="257"/>
      <c r="P102" s="257"/>
      <c r="Q102" s="257"/>
      <c r="R102" s="257"/>
      <c r="S102" s="258"/>
      <c r="T102" s="258"/>
      <c r="U102" s="258"/>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row>
    <row r="103" spans="1:43" ht="15" hidden="1">
      <c r="A103" s="270" t="s">
        <v>195</v>
      </c>
      <c r="B103" s="243">
        <v>8.5</v>
      </c>
      <c r="C103" s="370">
        <f>AVERAGE(C102,C104)</f>
        <v>137.10000000000002</v>
      </c>
      <c r="D103" s="370"/>
      <c r="E103" s="243"/>
      <c r="F103" s="243"/>
      <c r="G103" s="241"/>
      <c r="H103" s="241"/>
      <c r="I103" s="241"/>
      <c r="J103" s="241"/>
      <c r="K103" s="241"/>
      <c r="L103" s="241"/>
      <c r="M103" s="257"/>
      <c r="N103" s="257"/>
      <c r="O103" s="257"/>
      <c r="P103" s="257"/>
      <c r="Q103" s="257"/>
      <c r="R103" s="257"/>
      <c r="S103" s="258"/>
      <c r="T103" s="258"/>
      <c r="U103" s="258"/>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row>
    <row r="104" spans="1:43" ht="15" hidden="1">
      <c r="A104" s="271" t="s">
        <v>238</v>
      </c>
      <c r="B104" s="248">
        <v>9</v>
      </c>
      <c r="C104" s="370">
        <v>144.3</v>
      </c>
      <c r="D104" s="370"/>
      <c r="E104" s="241"/>
      <c r="F104" s="241"/>
      <c r="G104" s="241"/>
      <c r="H104" s="241"/>
      <c r="I104" s="241"/>
      <c r="J104" s="241"/>
      <c r="K104" s="241"/>
      <c r="L104" s="241"/>
      <c r="M104" s="257"/>
      <c r="N104" s="257"/>
      <c r="O104" s="257"/>
      <c r="P104" s="257"/>
      <c r="Q104" s="257"/>
      <c r="R104" s="257"/>
      <c r="S104" s="258"/>
      <c r="T104" s="258"/>
      <c r="U104" s="258"/>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row>
    <row r="105" spans="1:43" ht="14.25" hidden="1">
      <c r="A105" s="271" t="s">
        <v>239</v>
      </c>
      <c r="B105" s="146"/>
      <c r="C105" s="146"/>
      <c r="D105" s="146"/>
      <c r="E105" s="146"/>
      <c r="F105" s="146"/>
      <c r="G105" s="146"/>
      <c r="H105" s="146"/>
      <c r="I105" s="146"/>
      <c r="J105" s="146"/>
      <c r="K105" s="146"/>
      <c r="L105" s="146"/>
      <c r="M105" s="258"/>
      <c r="N105" s="258"/>
      <c r="O105" s="258"/>
      <c r="P105" s="258"/>
      <c r="Q105" s="258"/>
      <c r="R105" s="258"/>
      <c r="S105" s="258"/>
      <c r="T105" s="258"/>
      <c r="U105" s="258"/>
      <c r="V105" s="146"/>
      <c r="W105" s="272" t="s">
        <v>222</v>
      </c>
      <c r="X105" s="272"/>
      <c r="Y105" s="272"/>
      <c r="Z105" s="272"/>
      <c r="AA105" s="272"/>
      <c r="AB105" s="146"/>
      <c r="AC105" s="146"/>
      <c r="AD105" s="146"/>
      <c r="AE105" s="146"/>
      <c r="AF105" s="146"/>
      <c r="AG105" s="146"/>
      <c r="AH105" s="146"/>
      <c r="AI105" s="146"/>
      <c r="AJ105" s="146"/>
      <c r="AK105" s="146"/>
      <c r="AL105" s="146"/>
      <c r="AM105" s="146"/>
      <c r="AN105" s="146"/>
      <c r="AO105" s="146"/>
      <c r="AP105" s="146"/>
      <c r="AQ105" s="146"/>
    </row>
    <row r="106" spans="1:43" ht="16.5" hidden="1">
      <c r="A106" s="271" t="s">
        <v>240</v>
      </c>
      <c r="B106" s="146"/>
      <c r="C106" s="146"/>
      <c r="D106" s="146"/>
      <c r="E106" s="146"/>
      <c r="F106" s="146"/>
      <c r="G106" s="146"/>
      <c r="H106" s="146"/>
      <c r="I106" s="146"/>
      <c r="J106" s="146"/>
      <c r="K106" s="146"/>
      <c r="L106" s="146"/>
      <c r="M106" s="258"/>
      <c r="N106" s="258"/>
      <c r="O106" s="258"/>
      <c r="P106" s="258"/>
      <c r="Q106" s="258"/>
      <c r="R106" s="258"/>
      <c r="S106" s="258"/>
      <c r="T106" s="258"/>
      <c r="U106" s="258"/>
      <c r="V106" s="146"/>
      <c r="W106" s="273" t="s">
        <v>230</v>
      </c>
      <c r="X106" s="274"/>
      <c r="Y106" s="274"/>
      <c r="Z106" s="274"/>
      <c r="AA106" s="272">
        <v>1.16</v>
      </c>
      <c r="AB106" s="275">
        <f>IF($P$9=W106,AA106,0)</f>
        <v>0</v>
      </c>
      <c r="AC106" s="146"/>
      <c r="AD106" s="146"/>
      <c r="AE106" s="146"/>
      <c r="AF106" s="146"/>
      <c r="AG106" s="146"/>
      <c r="AH106" s="146"/>
      <c r="AI106" s="146"/>
      <c r="AJ106" s="146"/>
      <c r="AK106" s="146"/>
      <c r="AL106" s="146"/>
      <c r="AM106" s="146"/>
      <c r="AN106" s="146"/>
      <c r="AO106" s="146"/>
      <c r="AP106" s="146"/>
      <c r="AQ106" s="146"/>
    </row>
    <row r="107" spans="1:43" ht="16.5" hidden="1">
      <c r="A107" s="276" t="s">
        <v>241</v>
      </c>
      <c r="B107" s="277"/>
      <c r="C107" s="146"/>
      <c r="D107" s="146"/>
      <c r="E107" s="146"/>
      <c r="F107" s="278"/>
      <c r="G107" s="146"/>
      <c r="H107" s="146"/>
      <c r="I107" s="146"/>
      <c r="J107" s="146"/>
      <c r="K107" s="146"/>
      <c r="L107" s="146"/>
      <c r="M107" s="258"/>
      <c r="N107" s="258"/>
      <c r="O107" s="258"/>
      <c r="P107" s="258"/>
      <c r="Q107" s="258"/>
      <c r="R107" s="258"/>
      <c r="S107" s="258"/>
      <c r="T107" s="258"/>
      <c r="U107" s="258"/>
      <c r="V107" s="146"/>
      <c r="W107" s="279" t="s">
        <v>223</v>
      </c>
      <c r="X107" s="274"/>
      <c r="Y107" s="274"/>
      <c r="Z107" s="274"/>
      <c r="AA107" s="272">
        <v>1.07</v>
      </c>
      <c r="AB107" s="275">
        <f aca="true" t="shared" si="16" ref="AB107:AB112">IF($P$9=W107,AA107,0)</f>
        <v>1.07</v>
      </c>
      <c r="AC107" s="146"/>
      <c r="AD107" s="146"/>
      <c r="AE107" s="146"/>
      <c r="AF107" s="146"/>
      <c r="AG107" s="146"/>
      <c r="AH107" s="146"/>
      <c r="AI107" s="146"/>
      <c r="AJ107" s="146"/>
      <c r="AK107" s="146"/>
      <c r="AL107" s="146"/>
      <c r="AM107" s="146"/>
      <c r="AN107" s="146"/>
      <c r="AO107" s="146"/>
      <c r="AP107" s="146"/>
      <c r="AQ107" s="146"/>
    </row>
    <row r="108" spans="1:43" ht="16.5" hidden="1">
      <c r="A108" s="276" t="s">
        <v>242</v>
      </c>
      <c r="B108" s="280"/>
      <c r="C108" s="258"/>
      <c r="D108" s="258"/>
      <c r="E108" s="258"/>
      <c r="F108" s="281"/>
      <c r="G108" s="258"/>
      <c r="H108" s="258"/>
      <c r="I108" s="258"/>
      <c r="J108" s="258"/>
      <c r="K108" s="258"/>
      <c r="L108" s="146"/>
      <c r="M108" s="258"/>
      <c r="N108" s="258"/>
      <c r="O108" s="258"/>
      <c r="P108" s="258"/>
      <c r="Q108" s="258"/>
      <c r="R108" s="258"/>
      <c r="S108" s="258"/>
      <c r="T108" s="258"/>
      <c r="U108" s="258"/>
      <c r="V108" s="146"/>
      <c r="W108" s="273" t="s">
        <v>224</v>
      </c>
      <c r="X108" s="274"/>
      <c r="Y108" s="274"/>
      <c r="Z108" s="274"/>
      <c r="AA108" s="272">
        <v>1.05</v>
      </c>
      <c r="AB108" s="275">
        <f t="shared" si="16"/>
        <v>0</v>
      </c>
      <c r="AC108" s="146"/>
      <c r="AD108" s="146"/>
      <c r="AE108" s="146"/>
      <c r="AF108" s="146"/>
      <c r="AG108" s="146"/>
      <c r="AH108" s="146"/>
      <c r="AI108" s="146"/>
      <c r="AJ108" s="146"/>
      <c r="AK108" s="146"/>
      <c r="AL108" s="146"/>
      <c r="AM108" s="146"/>
      <c r="AN108" s="146"/>
      <c r="AO108" s="146"/>
      <c r="AP108" s="146"/>
      <c r="AQ108" s="146"/>
    </row>
    <row r="109" spans="1:43" ht="16.5" hidden="1">
      <c r="A109" s="276" t="s">
        <v>243</v>
      </c>
      <c r="B109" s="280"/>
      <c r="C109" s="258"/>
      <c r="D109" s="258"/>
      <c r="E109" s="258"/>
      <c r="F109" s="258"/>
      <c r="G109" s="258"/>
      <c r="H109" s="258"/>
      <c r="I109" s="258"/>
      <c r="J109" s="258"/>
      <c r="K109" s="258"/>
      <c r="L109" s="146"/>
      <c r="M109" s="258"/>
      <c r="N109" s="258"/>
      <c r="O109" s="258"/>
      <c r="P109" s="258"/>
      <c r="Q109" s="258"/>
      <c r="R109" s="258"/>
      <c r="S109" s="258"/>
      <c r="T109" s="258"/>
      <c r="U109" s="258"/>
      <c r="V109" s="146"/>
      <c r="W109" s="273" t="s">
        <v>225</v>
      </c>
      <c r="X109" s="274"/>
      <c r="Y109" s="274"/>
      <c r="Z109" s="274"/>
      <c r="AA109" s="272">
        <v>1.03</v>
      </c>
      <c r="AB109" s="275">
        <f t="shared" si="16"/>
        <v>0</v>
      </c>
      <c r="AC109" s="146"/>
      <c r="AD109" s="146"/>
      <c r="AE109" s="146"/>
      <c r="AF109" s="146"/>
      <c r="AG109" s="146"/>
      <c r="AH109" s="146"/>
      <c r="AI109" s="146"/>
      <c r="AJ109" s="146"/>
      <c r="AK109" s="146"/>
      <c r="AL109" s="146"/>
      <c r="AM109" s="146"/>
      <c r="AN109" s="146"/>
      <c r="AO109" s="146"/>
      <c r="AP109" s="146"/>
      <c r="AQ109" s="146"/>
    </row>
    <row r="110" spans="1:43" ht="14.25" hidden="1">
      <c r="A110" s="276" t="s">
        <v>196</v>
      </c>
      <c r="B110" s="280"/>
      <c r="C110" s="258"/>
      <c r="D110" s="258"/>
      <c r="E110" s="258"/>
      <c r="F110" s="258"/>
      <c r="G110" s="258"/>
      <c r="H110" s="258"/>
      <c r="I110" s="258"/>
      <c r="J110" s="258"/>
      <c r="K110" s="258"/>
      <c r="L110" s="146"/>
      <c r="M110" s="258"/>
      <c r="N110" s="258"/>
      <c r="O110" s="258"/>
      <c r="P110" s="258"/>
      <c r="Q110" s="258"/>
      <c r="R110" s="258"/>
      <c r="S110" s="258"/>
      <c r="T110" s="258"/>
      <c r="U110" s="258"/>
      <c r="V110" s="146"/>
      <c r="W110" s="272" t="s">
        <v>226</v>
      </c>
      <c r="X110" s="272"/>
      <c r="Y110" s="272"/>
      <c r="Z110" s="272"/>
      <c r="AA110" s="272">
        <v>1</v>
      </c>
      <c r="AB110" s="275">
        <f t="shared" si="16"/>
        <v>0</v>
      </c>
      <c r="AC110" s="146"/>
      <c r="AD110" s="146"/>
      <c r="AE110" s="146"/>
      <c r="AF110" s="146"/>
      <c r="AG110" s="146"/>
      <c r="AH110" s="146"/>
      <c r="AI110" s="146"/>
      <c r="AJ110" s="146"/>
      <c r="AK110" s="146"/>
      <c r="AL110" s="146"/>
      <c r="AM110" s="146"/>
      <c r="AN110" s="146"/>
      <c r="AO110" s="146"/>
      <c r="AP110" s="146"/>
      <c r="AQ110" s="146"/>
    </row>
    <row r="111" spans="1:43" ht="14.25" hidden="1">
      <c r="A111" s="280"/>
      <c r="B111" s="280"/>
      <c r="C111" s="258"/>
      <c r="D111" s="258"/>
      <c r="E111" s="258"/>
      <c r="F111" s="258"/>
      <c r="G111" s="258"/>
      <c r="H111" s="258"/>
      <c r="I111" s="258"/>
      <c r="J111" s="258"/>
      <c r="K111" s="258"/>
      <c r="L111" s="146"/>
      <c r="M111" s="258"/>
      <c r="N111" s="258"/>
      <c r="O111" s="258"/>
      <c r="P111" s="258"/>
      <c r="Q111" s="258"/>
      <c r="R111" s="258"/>
      <c r="S111" s="258"/>
      <c r="T111" s="258"/>
      <c r="U111" s="258"/>
      <c r="V111" s="146"/>
      <c r="W111" s="272" t="s">
        <v>227</v>
      </c>
      <c r="X111" s="272"/>
      <c r="Y111" s="272"/>
      <c r="Z111" s="272"/>
      <c r="AA111" s="272">
        <v>0.9</v>
      </c>
      <c r="AB111" s="275">
        <f t="shared" si="16"/>
        <v>0</v>
      </c>
      <c r="AC111" s="146"/>
      <c r="AD111" s="146"/>
      <c r="AE111" s="146"/>
      <c r="AF111" s="146"/>
      <c r="AG111" s="146"/>
      <c r="AH111" s="146"/>
      <c r="AI111" s="146"/>
      <c r="AJ111" s="146"/>
      <c r="AK111" s="146"/>
      <c r="AL111" s="146"/>
      <c r="AM111" s="146"/>
      <c r="AN111" s="146"/>
      <c r="AO111" s="146"/>
      <c r="AP111" s="146"/>
      <c r="AQ111" s="146"/>
    </row>
    <row r="112" spans="1:43" ht="16.5" hidden="1">
      <c r="A112" s="282" t="s">
        <v>189</v>
      </c>
      <c r="B112" s="283">
        <f>AB193/2.2</f>
        <v>0</v>
      </c>
      <c r="C112" s="258"/>
      <c r="D112" s="258"/>
      <c r="E112" s="258"/>
      <c r="F112" s="258"/>
      <c r="G112" s="258"/>
      <c r="H112" s="258"/>
      <c r="I112" s="258"/>
      <c r="J112" s="258"/>
      <c r="K112" s="258"/>
      <c r="L112" s="146"/>
      <c r="M112" s="258"/>
      <c r="N112" s="258"/>
      <c r="O112" s="258"/>
      <c r="P112" s="258"/>
      <c r="Q112" s="258"/>
      <c r="R112" s="258"/>
      <c r="S112" s="258"/>
      <c r="T112" s="258"/>
      <c r="U112" s="258"/>
      <c r="V112" s="146"/>
      <c r="W112" s="273" t="s">
        <v>228</v>
      </c>
      <c r="X112" s="274"/>
      <c r="Y112" s="274"/>
      <c r="Z112" s="274"/>
      <c r="AA112" s="272">
        <v>0.9</v>
      </c>
      <c r="AB112" s="275">
        <f t="shared" si="16"/>
        <v>0</v>
      </c>
      <c r="AC112" s="146"/>
      <c r="AD112" s="146"/>
      <c r="AE112" s="146"/>
      <c r="AF112" s="146"/>
      <c r="AG112" s="146"/>
      <c r="AH112" s="146"/>
      <c r="AI112" s="146"/>
      <c r="AJ112" s="146"/>
      <c r="AK112" s="146"/>
      <c r="AL112" s="146"/>
      <c r="AM112" s="146"/>
      <c r="AN112" s="146"/>
      <c r="AO112" s="146"/>
      <c r="AP112" s="146"/>
      <c r="AQ112" s="146"/>
    </row>
    <row r="113" spans="1:43" ht="14.25" hidden="1">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146"/>
      <c r="W113" s="284" t="s">
        <v>229</v>
      </c>
      <c r="X113" s="285"/>
      <c r="Y113" s="285"/>
      <c r="Z113" s="285"/>
      <c r="AA113" s="272">
        <v>0.65</v>
      </c>
      <c r="AB113" s="275">
        <f>IF($P$9=W113,AA113,0)</f>
        <v>0</v>
      </c>
      <c r="AC113" s="146"/>
      <c r="AD113" s="146"/>
      <c r="AE113" s="146"/>
      <c r="AF113" s="146"/>
      <c r="AG113" s="146"/>
      <c r="AH113" s="146"/>
      <c r="AI113" s="146"/>
      <c r="AJ113" s="146"/>
      <c r="AK113" s="146"/>
      <c r="AL113" s="146"/>
      <c r="AM113" s="146"/>
      <c r="AN113" s="146"/>
      <c r="AO113" s="146"/>
      <c r="AP113" s="146"/>
      <c r="AQ113" s="146"/>
    </row>
    <row r="114" spans="1:43" ht="14.25" hidden="1">
      <c r="A114" s="258"/>
      <c r="B114" s="258"/>
      <c r="C114" s="258"/>
      <c r="D114" s="258"/>
      <c r="E114" s="258"/>
      <c r="F114" s="258"/>
      <c r="G114" s="258"/>
      <c r="H114" s="258"/>
      <c r="I114" s="258"/>
      <c r="J114" s="258"/>
      <c r="K114" s="258"/>
      <c r="L114" s="258"/>
      <c r="M114" s="258"/>
      <c r="N114" s="258"/>
      <c r="O114" s="258"/>
      <c r="P114" s="258"/>
      <c r="Q114" s="258"/>
      <c r="R114" s="258"/>
      <c r="S114" s="258"/>
      <c r="T114" s="258"/>
      <c r="U114" s="258"/>
      <c r="V114" s="146"/>
      <c r="W114" s="275" t="s">
        <v>231</v>
      </c>
      <c r="X114" s="275"/>
      <c r="Y114" s="275"/>
      <c r="Z114" s="275"/>
      <c r="AA114" s="275"/>
      <c r="AB114" s="275">
        <f>SUM(AB106:AB113)</f>
        <v>1.07</v>
      </c>
      <c r="AC114" s="146"/>
      <c r="AD114" s="146"/>
      <c r="AE114" s="146"/>
      <c r="AF114" s="146"/>
      <c r="AG114" s="146"/>
      <c r="AH114" s="146"/>
      <c r="AI114" s="146"/>
      <c r="AJ114" s="146"/>
      <c r="AK114" s="146"/>
      <c r="AL114" s="146"/>
      <c r="AM114" s="146"/>
      <c r="AN114" s="146"/>
      <c r="AO114" s="146"/>
      <c r="AP114" s="146"/>
      <c r="AQ114" s="146"/>
    </row>
    <row r="115" spans="1:43" ht="14.25" hidden="1">
      <c r="A115" s="258"/>
      <c r="B115" s="258"/>
      <c r="C115" s="258"/>
      <c r="D115" s="258"/>
      <c r="E115" s="258"/>
      <c r="F115" s="258"/>
      <c r="G115" s="258"/>
      <c r="H115" s="258"/>
      <c r="I115" s="258"/>
      <c r="J115" s="258"/>
      <c r="K115" s="258"/>
      <c r="L115" s="258"/>
      <c r="M115" s="258"/>
      <c r="N115" s="258"/>
      <c r="O115" s="258"/>
      <c r="P115" s="258"/>
      <c r="Q115" s="258"/>
      <c r="R115" s="258"/>
      <c r="S115" s="258"/>
      <c r="T115" s="258"/>
      <c r="U115" s="258"/>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row>
    <row r="116" spans="1:43" ht="89.25" hidden="1">
      <c r="A116" s="258"/>
      <c r="B116" s="286" t="s">
        <v>318</v>
      </c>
      <c r="C116" s="286" t="s">
        <v>319</v>
      </c>
      <c r="D116" s="286" t="s">
        <v>320</v>
      </c>
      <c r="E116" s="287" t="s">
        <v>321</v>
      </c>
      <c r="F116" s="286" t="s">
        <v>322</v>
      </c>
      <c r="G116" s="286" t="s">
        <v>510</v>
      </c>
      <c r="H116" s="286" t="s">
        <v>323</v>
      </c>
      <c r="I116" s="286" t="s">
        <v>324</v>
      </c>
      <c r="J116" s="286" t="s">
        <v>325</v>
      </c>
      <c r="K116" s="286" t="s">
        <v>512</v>
      </c>
      <c r="L116" s="286" t="s">
        <v>513</v>
      </c>
      <c r="M116" s="286" t="s">
        <v>326</v>
      </c>
      <c r="N116" s="286" t="s">
        <v>327</v>
      </c>
      <c r="O116" s="286" t="s">
        <v>181</v>
      </c>
      <c r="P116" s="286" t="s">
        <v>182</v>
      </c>
      <c r="Q116" s="288"/>
      <c r="R116" s="288"/>
      <c r="S116" s="288"/>
      <c r="T116" s="288"/>
      <c r="U116" s="288"/>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row>
    <row r="117" spans="1:43" ht="39" hidden="1" thickBot="1">
      <c r="A117" s="289" t="s">
        <v>327</v>
      </c>
      <c r="B117" s="290"/>
      <c r="C117" s="291" t="s">
        <v>183</v>
      </c>
      <c r="D117" s="291" t="s">
        <v>183</v>
      </c>
      <c r="E117" s="291" t="s">
        <v>183</v>
      </c>
      <c r="F117" s="291" t="s">
        <v>183</v>
      </c>
      <c r="G117" s="291" t="s">
        <v>184</v>
      </c>
      <c r="H117" s="291" t="s">
        <v>544</v>
      </c>
      <c r="I117" s="291" t="s">
        <v>544</v>
      </c>
      <c r="J117" s="291" t="s">
        <v>184</v>
      </c>
      <c r="K117" s="291" t="s">
        <v>184</v>
      </c>
      <c r="L117" s="291" t="s">
        <v>184</v>
      </c>
      <c r="M117" s="291" t="s">
        <v>185</v>
      </c>
      <c r="N117" s="291" t="s">
        <v>185</v>
      </c>
      <c r="O117" s="291" t="s">
        <v>183</v>
      </c>
      <c r="P117" s="291" t="s">
        <v>183</v>
      </c>
      <c r="Q117" s="292"/>
      <c r="R117" s="293" t="s">
        <v>192</v>
      </c>
      <c r="S117" s="293" t="s">
        <v>191</v>
      </c>
      <c r="T117" s="293" t="s">
        <v>193</v>
      </c>
      <c r="U117" s="293" t="s">
        <v>211</v>
      </c>
      <c r="V117" s="294" t="s">
        <v>212</v>
      </c>
      <c r="W117" s="295" t="s">
        <v>510</v>
      </c>
      <c r="X117" s="295" t="s">
        <v>408</v>
      </c>
      <c r="Y117" s="295" t="s">
        <v>511</v>
      </c>
      <c r="Z117" s="295" t="s">
        <v>512</v>
      </c>
      <c r="AA117" s="295" t="s">
        <v>513</v>
      </c>
      <c r="AB117" s="294" t="s">
        <v>256</v>
      </c>
      <c r="AC117" s="294" t="s">
        <v>257</v>
      </c>
      <c r="AD117" s="146"/>
      <c r="AE117" s="146"/>
      <c r="AF117" s="146"/>
      <c r="AG117" s="146"/>
      <c r="AH117" s="146"/>
      <c r="AI117" s="146"/>
      <c r="AJ117" s="146"/>
      <c r="AK117" s="146"/>
      <c r="AL117" s="146"/>
      <c r="AM117" s="146"/>
      <c r="AN117" s="146"/>
      <c r="AO117" s="146"/>
      <c r="AP117" s="146"/>
      <c r="AQ117" s="146"/>
    </row>
    <row r="118" spans="1:43" ht="15" hidden="1" thickBot="1">
      <c r="A118" s="260" t="s">
        <v>205</v>
      </c>
      <c r="B118" s="296" t="s">
        <v>187</v>
      </c>
      <c r="C118" s="296">
        <v>1000</v>
      </c>
      <c r="D118" s="296" t="s">
        <v>508</v>
      </c>
      <c r="E118" s="296" t="s">
        <v>508</v>
      </c>
      <c r="F118" s="296">
        <v>21.6</v>
      </c>
      <c r="G118" s="296">
        <v>55.8</v>
      </c>
      <c r="H118" s="296">
        <v>55</v>
      </c>
      <c r="I118" s="296" t="s">
        <v>508</v>
      </c>
      <c r="J118" s="296">
        <v>8.7</v>
      </c>
      <c r="K118" s="296">
        <v>0.24</v>
      </c>
      <c r="L118" s="296">
        <v>0.17</v>
      </c>
      <c r="M118" s="296" t="s">
        <v>508</v>
      </c>
      <c r="N118" s="296">
        <v>1</v>
      </c>
      <c r="O118" s="296">
        <v>10</v>
      </c>
      <c r="P118" s="296">
        <v>8.3</v>
      </c>
      <c r="Q118" s="288"/>
      <c r="R118" s="297">
        <f>IF($B$6&lt;1100,1,0)</f>
        <v>0</v>
      </c>
      <c r="S118" s="298">
        <f>IF($B$7=$A$104,1,0)</f>
        <v>0</v>
      </c>
      <c r="T118" s="299">
        <v>1</v>
      </c>
      <c r="U118" s="298">
        <f aca="true" t="shared" si="17" ref="U118:U123">IF($P$8=$A$126,1,0)</f>
        <v>0</v>
      </c>
      <c r="V118" s="294">
        <f>R118*S118*T118*U118</f>
        <v>0</v>
      </c>
      <c r="W118" s="295">
        <f>IF(V118=1,G118,0)</f>
        <v>0</v>
      </c>
      <c r="X118" s="295">
        <f>IF(V118=1,H118,0)</f>
        <v>0</v>
      </c>
      <c r="Y118" s="295">
        <f>IF(V118=1,J118,0)</f>
        <v>0</v>
      </c>
      <c r="Z118" s="295">
        <f>IF(V118=1,K118,0)</f>
        <v>0</v>
      </c>
      <c r="AA118" s="295">
        <f>IF(V118=1,L118,0)</f>
        <v>0</v>
      </c>
      <c r="AB118" s="294">
        <f>V118*P118</f>
        <v>0</v>
      </c>
      <c r="AC118" s="294">
        <f>F118*V118</f>
        <v>0</v>
      </c>
      <c r="AD118" s="146"/>
      <c r="AE118" s="146"/>
      <c r="AF118" s="146"/>
      <c r="AG118" s="146"/>
      <c r="AH118" s="146"/>
      <c r="AI118" s="146"/>
      <c r="AJ118" s="146"/>
      <c r="AK118" s="146"/>
      <c r="AL118" s="146"/>
      <c r="AM118" s="146"/>
      <c r="AN118" s="146"/>
      <c r="AO118" s="146"/>
      <c r="AP118" s="146"/>
      <c r="AQ118" s="146"/>
    </row>
    <row r="119" spans="1:43" ht="15" hidden="1" thickBot="1">
      <c r="A119" s="260" t="s">
        <v>206</v>
      </c>
      <c r="B119" s="296" t="s">
        <v>187</v>
      </c>
      <c r="C119" s="296">
        <v>1000</v>
      </c>
      <c r="D119" s="296" t="s">
        <v>508</v>
      </c>
      <c r="E119" s="296" t="s">
        <v>508</v>
      </c>
      <c r="F119" s="296">
        <v>22.1</v>
      </c>
      <c r="G119" s="296">
        <v>56.6</v>
      </c>
      <c r="H119" s="296">
        <v>56</v>
      </c>
      <c r="I119" s="296" t="s">
        <v>508</v>
      </c>
      <c r="J119" s="296">
        <v>9.1</v>
      </c>
      <c r="K119" s="296">
        <v>0.25</v>
      </c>
      <c r="L119" s="296">
        <v>0.17</v>
      </c>
      <c r="M119" s="296" t="s">
        <v>508</v>
      </c>
      <c r="N119" s="296">
        <v>2</v>
      </c>
      <c r="O119" s="296">
        <v>10</v>
      </c>
      <c r="P119" s="296">
        <v>10</v>
      </c>
      <c r="Q119" s="288"/>
      <c r="R119" s="297">
        <f aca="true" t="shared" si="18" ref="R119:R142">IF($B$6&lt;1100,1,0)</f>
        <v>0</v>
      </c>
      <c r="S119" s="300">
        <f>IF($B$7=$A$105,1,0)</f>
        <v>0</v>
      </c>
      <c r="T119" s="299">
        <v>1</v>
      </c>
      <c r="U119" s="298">
        <f t="shared" si="17"/>
        <v>0</v>
      </c>
      <c r="V119" s="294">
        <f aca="true" t="shared" si="19" ref="V119:V184">R119*S119*T119*U119</f>
        <v>0</v>
      </c>
      <c r="W119" s="295">
        <f aca="true" t="shared" si="20" ref="W119:W184">IF(V119=1,G119,0)</f>
        <v>0</v>
      </c>
      <c r="X119" s="295">
        <f aca="true" t="shared" si="21" ref="X119:X184">IF(V119=1,H119,0)</f>
        <v>0</v>
      </c>
      <c r="Y119" s="295">
        <f aca="true" t="shared" si="22" ref="Y119:Y184">IF(V119=1,J119,0)</f>
        <v>0</v>
      </c>
      <c r="Z119" s="295">
        <f aca="true" t="shared" si="23" ref="Z119:Z184">IF(V119=1,K119,0)</f>
        <v>0</v>
      </c>
      <c r="AA119" s="295">
        <f aca="true" t="shared" si="24" ref="AA119:AA184">IF(V119=1,L119,0)</f>
        <v>0</v>
      </c>
      <c r="AB119" s="294">
        <f aca="true" t="shared" si="25" ref="AB119:AB182">V119*P119</f>
        <v>0</v>
      </c>
      <c r="AC119" s="294">
        <f aca="true" t="shared" si="26" ref="AC119:AC182">F119*V119</f>
        <v>0</v>
      </c>
      <c r="AD119" s="146"/>
      <c r="AE119" s="146"/>
      <c r="AF119" s="146"/>
      <c r="AG119" s="146"/>
      <c r="AH119" s="146"/>
      <c r="AI119" s="146"/>
      <c r="AJ119" s="146"/>
      <c r="AK119" s="146"/>
      <c r="AL119" s="146"/>
      <c r="AM119" s="146"/>
      <c r="AN119" s="146"/>
      <c r="AO119" s="146"/>
      <c r="AP119" s="146"/>
      <c r="AQ119" s="146"/>
    </row>
    <row r="120" spans="1:43" ht="15" hidden="1" thickBot="1">
      <c r="A120" s="260" t="s">
        <v>207</v>
      </c>
      <c r="B120" s="296" t="s">
        <v>187</v>
      </c>
      <c r="C120" s="296">
        <v>1000</v>
      </c>
      <c r="D120" s="296" t="s">
        <v>508</v>
      </c>
      <c r="E120" s="296" t="s">
        <v>508</v>
      </c>
      <c r="F120" s="296">
        <v>23</v>
      </c>
      <c r="G120" s="296">
        <v>54.3</v>
      </c>
      <c r="H120" s="296">
        <v>52</v>
      </c>
      <c r="I120" s="296" t="s">
        <v>508</v>
      </c>
      <c r="J120" s="296">
        <v>8.41</v>
      </c>
      <c r="K120" s="296">
        <v>0.23</v>
      </c>
      <c r="L120" s="296">
        <v>0.16</v>
      </c>
      <c r="M120" s="296" t="s">
        <v>508</v>
      </c>
      <c r="N120" s="296">
        <v>3</v>
      </c>
      <c r="O120" s="296">
        <v>10</v>
      </c>
      <c r="P120" s="296">
        <v>9</v>
      </c>
      <c r="Q120" s="288"/>
      <c r="R120" s="297">
        <f t="shared" si="18"/>
        <v>0</v>
      </c>
      <c r="S120" s="300">
        <f>IF($B$7=$A$106,1,0)</f>
        <v>0</v>
      </c>
      <c r="T120" s="299">
        <v>1</v>
      </c>
      <c r="U120" s="298">
        <f t="shared" si="17"/>
        <v>0</v>
      </c>
      <c r="V120" s="294">
        <f t="shared" si="19"/>
        <v>0</v>
      </c>
      <c r="W120" s="295">
        <f t="shared" si="20"/>
        <v>0</v>
      </c>
      <c r="X120" s="295">
        <f t="shared" si="21"/>
        <v>0</v>
      </c>
      <c r="Y120" s="295">
        <f t="shared" si="22"/>
        <v>0</v>
      </c>
      <c r="Z120" s="295">
        <f t="shared" si="23"/>
        <v>0</v>
      </c>
      <c r="AA120" s="295">
        <f t="shared" si="24"/>
        <v>0</v>
      </c>
      <c r="AB120" s="294">
        <f t="shared" si="25"/>
        <v>0</v>
      </c>
      <c r="AC120" s="294">
        <f t="shared" si="26"/>
        <v>0</v>
      </c>
      <c r="AD120" s="146"/>
      <c r="AE120" s="146"/>
      <c r="AF120" s="146"/>
      <c r="AG120" s="146"/>
      <c r="AH120" s="146"/>
      <c r="AI120" s="146"/>
      <c r="AJ120" s="146"/>
      <c r="AK120" s="146"/>
      <c r="AL120" s="146"/>
      <c r="AM120" s="146"/>
      <c r="AN120" s="146"/>
      <c r="AO120" s="146"/>
      <c r="AP120" s="146"/>
      <c r="AQ120" s="146"/>
    </row>
    <row r="121" spans="1:43" ht="15" hidden="1" thickBot="1">
      <c r="A121" s="260" t="s">
        <v>208</v>
      </c>
      <c r="B121" s="296" t="s">
        <v>187</v>
      </c>
      <c r="C121" s="296">
        <v>1000</v>
      </c>
      <c r="D121" s="296" t="s">
        <v>508</v>
      </c>
      <c r="E121" s="296" t="s">
        <v>508</v>
      </c>
      <c r="F121" s="296">
        <v>22.5</v>
      </c>
      <c r="G121" s="296">
        <v>53.4</v>
      </c>
      <c r="H121" s="296">
        <v>51</v>
      </c>
      <c r="I121" s="296" t="s">
        <v>508</v>
      </c>
      <c r="J121" s="296">
        <v>7.97</v>
      </c>
      <c r="K121" s="296">
        <v>0.22</v>
      </c>
      <c r="L121" s="296">
        <v>0.15</v>
      </c>
      <c r="M121" s="296">
        <v>1</v>
      </c>
      <c r="N121" s="296">
        <v>4</v>
      </c>
      <c r="O121" s="296">
        <v>10</v>
      </c>
      <c r="P121" s="296">
        <v>7.2</v>
      </c>
      <c r="Q121" s="288"/>
      <c r="R121" s="297">
        <f t="shared" si="18"/>
        <v>0</v>
      </c>
      <c r="S121" s="300">
        <f>IF($B$7=$A$107,1,0)</f>
        <v>0</v>
      </c>
      <c r="T121" s="299">
        <v>1</v>
      </c>
      <c r="U121" s="298">
        <f t="shared" si="17"/>
        <v>0</v>
      </c>
      <c r="V121" s="294">
        <f t="shared" si="19"/>
        <v>0</v>
      </c>
      <c r="W121" s="295">
        <f t="shared" si="20"/>
        <v>0</v>
      </c>
      <c r="X121" s="295">
        <f t="shared" si="21"/>
        <v>0</v>
      </c>
      <c r="Y121" s="295">
        <f t="shared" si="22"/>
        <v>0</v>
      </c>
      <c r="Z121" s="295">
        <f t="shared" si="23"/>
        <v>0</v>
      </c>
      <c r="AA121" s="295">
        <f t="shared" si="24"/>
        <v>0</v>
      </c>
      <c r="AB121" s="294">
        <f t="shared" si="25"/>
        <v>0</v>
      </c>
      <c r="AC121" s="294">
        <f t="shared" si="26"/>
        <v>0</v>
      </c>
      <c r="AD121" s="146"/>
      <c r="AE121" s="146"/>
      <c r="AF121" s="146"/>
      <c r="AG121" s="146"/>
      <c r="AH121" s="146"/>
      <c r="AI121" s="146"/>
      <c r="AJ121" s="146"/>
      <c r="AK121" s="146"/>
      <c r="AL121" s="146"/>
      <c r="AM121" s="146"/>
      <c r="AN121" s="146"/>
      <c r="AO121" s="146"/>
      <c r="AP121" s="146"/>
      <c r="AQ121" s="146"/>
    </row>
    <row r="122" spans="1:43" ht="15" hidden="1" thickBot="1">
      <c r="A122" s="260" t="s">
        <v>209</v>
      </c>
      <c r="B122" s="296" t="s">
        <v>187</v>
      </c>
      <c r="C122" s="296">
        <v>1000</v>
      </c>
      <c r="D122" s="296" t="s">
        <v>508</v>
      </c>
      <c r="E122" s="296" t="s">
        <v>508</v>
      </c>
      <c r="F122" s="296">
        <v>22.1</v>
      </c>
      <c r="G122" s="296">
        <v>52.5</v>
      </c>
      <c r="H122" s="296">
        <v>49</v>
      </c>
      <c r="I122" s="296" t="s">
        <v>508</v>
      </c>
      <c r="J122" s="296">
        <v>7.51</v>
      </c>
      <c r="K122" s="296">
        <v>0.2</v>
      </c>
      <c r="L122" s="296">
        <v>0.14</v>
      </c>
      <c r="M122" s="296">
        <v>2</v>
      </c>
      <c r="N122" s="296">
        <v>5</v>
      </c>
      <c r="O122" s="296">
        <v>10</v>
      </c>
      <c r="P122" s="296">
        <v>5.4</v>
      </c>
      <c r="Q122" s="288"/>
      <c r="R122" s="297">
        <f t="shared" si="18"/>
        <v>0</v>
      </c>
      <c r="S122" s="300">
        <f>IF($B$7=$A$108,1,0)</f>
        <v>0</v>
      </c>
      <c r="T122" s="299">
        <v>1</v>
      </c>
      <c r="U122" s="298">
        <f t="shared" si="17"/>
        <v>0</v>
      </c>
      <c r="V122" s="294">
        <f t="shared" si="19"/>
        <v>0</v>
      </c>
      <c r="W122" s="295">
        <f t="shared" si="20"/>
        <v>0</v>
      </c>
      <c r="X122" s="295">
        <f t="shared" si="21"/>
        <v>0</v>
      </c>
      <c r="Y122" s="295">
        <f t="shared" si="22"/>
        <v>0</v>
      </c>
      <c r="Z122" s="295">
        <f t="shared" si="23"/>
        <v>0</v>
      </c>
      <c r="AA122" s="295">
        <f t="shared" si="24"/>
        <v>0</v>
      </c>
      <c r="AB122" s="294">
        <f t="shared" si="25"/>
        <v>0</v>
      </c>
      <c r="AC122" s="294">
        <f t="shared" si="26"/>
        <v>0</v>
      </c>
      <c r="AD122" s="146"/>
      <c r="AE122" s="146"/>
      <c r="AF122" s="146"/>
      <c r="AG122" s="146"/>
      <c r="AH122" s="146"/>
      <c r="AI122" s="146"/>
      <c r="AJ122" s="146"/>
      <c r="AK122" s="146"/>
      <c r="AL122" s="146"/>
      <c r="AM122" s="146"/>
      <c r="AN122" s="146"/>
      <c r="AO122" s="146"/>
      <c r="AP122" s="146"/>
      <c r="AQ122" s="146"/>
    </row>
    <row r="123" spans="1:43" ht="15" hidden="1" thickBot="1">
      <c r="A123" s="260" t="s">
        <v>210</v>
      </c>
      <c r="B123" s="301" t="s">
        <v>187</v>
      </c>
      <c r="C123" s="301">
        <v>1000</v>
      </c>
      <c r="D123" s="301" t="s">
        <v>508</v>
      </c>
      <c r="E123" s="301" t="s">
        <v>508</v>
      </c>
      <c r="F123" s="301">
        <v>21.7</v>
      </c>
      <c r="G123" s="301">
        <v>51.8</v>
      </c>
      <c r="H123" s="301">
        <v>48</v>
      </c>
      <c r="I123" s="301" t="s">
        <v>508</v>
      </c>
      <c r="J123" s="301">
        <v>7.14</v>
      </c>
      <c r="K123" s="301">
        <v>0.19</v>
      </c>
      <c r="L123" s="301">
        <v>0.14</v>
      </c>
      <c r="M123" s="301">
        <v>3</v>
      </c>
      <c r="N123" s="301">
        <v>6</v>
      </c>
      <c r="O123" s="301">
        <v>10</v>
      </c>
      <c r="P123" s="301">
        <v>3.9</v>
      </c>
      <c r="Q123" s="292"/>
      <c r="R123" s="297">
        <f t="shared" si="18"/>
        <v>0</v>
      </c>
      <c r="S123" s="293">
        <f>IF($B$7=$A$109,1,0)</f>
        <v>0</v>
      </c>
      <c r="T123" s="302">
        <v>1</v>
      </c>
      <c r="U123" s="298">
        <f t="shared" si="17"/>
        <v>0</v>
      </c>
      <c r="V123" s="294">
        <f t="shared" si="19"/>
        <v>0</v>
      </c>
      <c r="W123" s="295">
        <f t="shared" si="20"/>
        <v>0</v>
      </c>
      <c r="X123" s="295">
        <f t="shared" si="21"/>
        <v>0</v>
      </c>
      <c r="Y123" s="295">
        <f t="shared" si="22"/>
        <v>0</v>
      </c>
      <c r="Z123" s="295">
        <f t="shared" si="23"/>
        <v>0</v>
      </c>
      <c r="AA123" s="295">
        <f t="shared" si="24"/>
        <v>0</v>
      </c>
      <c r="AB123" s="294">
        <f t="shared" si="25"/>
        <v>0</v>
      </c>
      <c r="AC123" s="294">
        <f t="shared" si="26"/>
        <v>0</v>
      </c>
      <c r="AD123" s="146"/>
      <c r="AE123" s="146"/>
      <c r="AF123" s="146"/>
      <c r="AG123" s="146"/>
      <c r="AH123" s="146"/>
      <c r="AI123" s="146"/>
      <c r="AJ123" s="146"/>
      <c r="AK123" s="146"/>
      <c r="AL123" s="146"/>
      <c r="AM123" s="146"/>
      <c r="AN123" s="146"/>
      <c r="AO123" s="146"/>
      <c r="AP123" s="146"/>
      <c r="AQ123" s="146"/>
    </row>
    <row r="124" spans="1:43" ht="15" hidden="1" thickBot="1">
      <c r="A124" s="303"/>
      <c r="B124" s="296" t="s">
        <v>187</v>
      </c>
      <c r="C124" s="296">
        <v>1000</v>
      </c>
      <c r="D124" s="296" t="s">
        <v>508</v>
      </c>
      <c r="E124" s="296" t="s">
        <v>508</v>
      </c>
      <c r="F124" s="296">
        <v>24</v>
      </c>
      <c r="G124" s="296">
        <v>59.6</v>
      </c>
      <c r="H124" s="296">
        <v>60</v>
      </c>
      <c r="I124" s="296" t="s">
        <v>508</v>
      </c>
      <c r="J124" s="296">
        <v>10.54</v>
      </c>
      <c r="K124" s="296">
        <v>0.3</v>
      </c>
      <c r="L124" s="296">
        <v>0.2</v>
      </c>
      <c r="M124" s="296" t="s">
        <v>508</v>
      </c>
      <c r="N124" s="296">
        <v>1</v>
      </c>
      <c r="O124" s="296">
        <v>20</v>
      </c>
      <c r="P124" s="296">
        <v>16.7</v>
      </c>
      <c r="Q124" s="304"/>
      <c r="R124" s="297">
        <f t="shared" si="18"/>
        <v>0</v>
      </c>
      <c r="S124" s="298">
        <f>IF($B$7=$A$104,1,0)</f>
        <v>0</v>
      </c>
      <c r="T124" s="299">
        <v>1</v>
      </c>
      <c r="U124" s="298">
        <f aca="true" t="shared" si="27" ref="U124:U129">IF($P$8=$A$127,1,0)</f>
        <v>0</v>
      </c>
      <c r="V124" s="294">
        <f t="shared" si="19"/>
        <v>0</v>
      </c>
      <c r="W124" s="295">
        <f t="shared" si="20"/>
        <v>0</v>
      </c>
      <c r="X124" s="295">
        <f t="shared" si="21"/>
        <v>0</v>
      </c>
      <c r="Y124" s="295">
        <f t="shared" si="22"/>
        <v>0</v>
      </c>
      <c r="Z124" s="295">
        <f t="shared" si="23"/>
        <v>0</v>
      </c>
      <c r="AA124" s="295">
        <f t="shared" si="24"/>
        <v>0</v>
      </c>
      <c r="AB124" s="294">
        <f t="shared" si="25"/>
        <v>0</v>
      </c>
      <c r="AC124" s="294">
        <f t="shared" si="26"/>
        <v>0</v>
      </c>
      <c r="AD124" s="305"/>
      <c r="AE124" s="305"/>
      <c r="AF124" s="305"/>
      <c r="AG124" s="305"/>
      <c r="AH124" s="305"/>
      <c r="AI124" s="305"/>
      <c r="AJ124" s="305"/>
      <c r="AK124" s="305"/>
      <c r="AL124" s="305"/>
      <c r="AM124" s="305"/>
      <c r="AN124" s="305"/>
      <c r="AO124" s="305"/>
      <c r="AP124" s="305"/>
      <c r="AQ124" s="305"/>
    </row>
    <row r="125" spans="1:43" ht="15.75" hidden="1" thickBot="1">
      <c r="A125" s="306" t="s">
        <v>198</v>
      </c>
      <c r="B125" s="296" t="s">
        <v>187</v>
      </c>
      <c r="C125" s="296">
        <v>1000</v>
      </c>
      <c r="D125" s="296" t="s">
        <v>508</v>
      </c>
      <c r="E125" s="296" t="s">
        <v>508</v>
      </c>
      <c r="F125" s="296">
        <v>25</v>
      </c>
      <c r="G125" s="296">
        <v>60.9</v>
      </c>
      <c r="H125" s="296">
        <v>62</v>
      </c>
      <c r="I125" s="296" t="s">
        <v>508</v>
      </c>
      <c r="J125" s="296">
        <v>11.18</v>
      </c>
      <c r="K125" s="296">
        <v>0.32</v>
      </c>
      <c r="L125" s="296">
        <v>0.21</v>
      </c>
      <c r="M125" s="296" t="s">
        <v>508</v>
      </c>
      <c r="N125" s="296">
        <v>2</v>
      </c>
      <c r="O125" s="296">
        <v>20</v>
      </c>
      <c r="P125" s="296">
        <v>20</v>
      </c>
      <c r="Q125" s="304"/>
      <c r="R125" s="297">
        <f t="shared" si="18"/>
        <v>0</v>
      </c>
      <c r="S125" s="300">
        <f>IF($B$7=$A$105,1,0)</f>
        <v>0</v>
      </c>
      <c r="T125" s="299">
        <v>1</v>
      </c>
      <c r="U125" s="298">
        <f t="shared" si="27"/>
        <v>0</v>
      </c>
      <c r="V125" s="294">
        <f t="shared" si="19"/>
        <v>0</v>
      </c>
      <c r="W125" s="295">
        <f t="shared" si="20"/>
        <v>0</v>
      </c>
      <c r="X125" s="295">
        <f t="shared" si="21"/>
        <v>0</v>
      </c>
      <c r="Y125" s="295">
        <f t="shared" si="22"/>
        <v>0</v>
      </c>
      <c r="Z125" s="295">
        <f t="shared" si="23"/>
        <v>0</v>
      </c>
      <c r="AA125" s="295">
        <f t="shared" si="24"/>
        <v>0</v>
      </c>
      <c r="AB125" s="294">
        <f t="shared" si="25"/>
        <v>0</v>
      </c>
      <c r="AC125" s="294">
        <f t="shared" si="26"/>
        <v>0</v>
      </c>
      <c r="AD125" s="305"/>
      <c r="AE125" s="305"/>
      <c r="AF125" s="305"/>
      <c r="AG125" s="305"/>
      <c r="AH125" s="305"/>
      <c r="AI125" s="305"/>
      <c r="AJ125" s="305"/>
      <c r="AK125" s="305"/>
      <c r="AL125" s="305"/>
      <c r="AM125" s="305"/>
      <c r="AN125" s="305"/>
      <c r="AO125" s="305"/>
      <c r="AP125" s="305"/>
      <c r="AQ125" s="305"/>
    </row>
    <row r="126" spans="1:43" ht="15" hidden="1" thickBot="1">
      <c r="A126" s="307" t="s">
        <v>177</v>
      </c>
      <c r="B126" s="296" t="s">
        <v>187</v>
      </c>
      <c r="C126" s="296">
        <v>1000</v>
      </c>
      <c r="D126" s="296" t="s">
        <v>508</v>
      </c>
      <c r="E126" s="296" t="s">
        <v>508</v>
      </c>
      <c r="F126" s="296">
        <v>25.4</v>
      </c>
      <c r="G126" s="296">
        <v>58.6</v>
      </c>
      <c r="H126" s="296">
        <v>59</v>
      </c>
      <c r="I126" s="296" t="s">
        <v>508</v>
      </c>
      <c r="J126" s="296">
        <v>10.38</v>
      </c>
      <c r="K126" s="296">
        <v>0.3</v>
      </c>
      <c r="L126" s="296">
        <v>0.19</v>
      </c>
      <c r="M126" s="296" t="s">
        <v>508</v>
      </c>
      <c r="N126" s="296">
        <v>3</v>
      </c>
      <c r="O126" s="296">
        <v>20</v>
      </c>
      <c r="P126" s="296">
        <v>18</v>
      </c>
      <c r="Q126" s="304"/>
      <c r="R126" s="297">
        <f t="shared" si="18"/>
        <v>0</v>
      </c>
      <c r="S126" s="300">
        <f>IF($B$7=$A$106,1,0)</f>
        <v>0</v>
      </c>
      <c r="T126" s="299">
        <v>1</v>
      </c>
      <c r="U126" s="298">
        <f t="shared" si="27"/>
        <v>0</v>
      </c>
      <c r="V126" s="294">
        <f t="shared" si="19"/>
        <v>0</v>
      </c>
      <c r="W126" s="295">
        <f t="shared" si="20"/>
        <v>0</v>
      </c>
      <c r="X126" s="295">
        <f t="shared" si="21"/>
        <v>0</v>
      </c>
      <c r="Y126" s="295">
        <f t="shared" si="22"/>
        <v>0</v>
      </c>
      <c r="Z126" s="295">
        <f t="shared" si="23"/>
        <v>0</v>
      </c>
      <c r="AA126" s="295">
        <f t="shared" si="24"/>
        <v>0</v>
      </c>
      <c r="AB126" s="294">
        <f t="shared" si="25"/>
        <v>0</v>
      </c>
      <c r="AC126" s="294">
        <f t="shared" si="26"/>
        <v>0</v>
      </c>
      <c r="AD126" s="305"/>
      <c r="AE126" s="305"/>
      <c r="AF126" s="305"/>
      <c r="AG126" s="305"/>
      <c r="AH126" s="305"/>
      <c r="AI126" s="305"/>
      <c r="AJ126" s="305"/>
      <c r="AK126" s="305"/>
      <c r="AL126" s="305"/>
      <c r="AM126" s="305"/>
      <c r="AN126" s="305"/>
      <c r="AO126" s="305"/>
      <c r="AP126" s="305"/>
      <c r="AQ126" s="305"/>
    </row>
    <row r="127" spans="1:43" ht="15" hidden="1" thickBot="1">
      <c r="A127" s="307" t="s">
        <v>178</v>
      </c>
      <c r="B127" s="296" t="s">
        <v>187</v>
      </c>
      <c r="C127" s="296">
        <v>1000</v>
      </c>
      <c r="D127" s="296" t="s">
        <v>508</v>
      </c>
      <c r="E127" s="296" t="s">
        <v>508</v>
      </c>
      <c r="F127" s="296">
        <v>24.4</v>
      </c>
      <c r="G127" s="296">
        <v>57</v>
      </c>
      <c r="H127" s="296">
        <v>56</v>
      </c>
      <c r="I127" s="296" t="s">
        <v>508</v>
      </c>
      <c r="J127" s="296">
        <v>9.65</v>
      </c>
      <c r="K127" s="296">
        <v>0.27</v>
      </c>
      <c r="L127" s="296">
        <v>0.18</v>
      </c>
      <c r="M127" s="296">
        <v>1</v>
      </c>
      <c r="N127" s="296">
        <v>4</v>
      </c>
      <c r="O127" s="296">
        <v>20</v>
      </c>
      <c r="P127" s="296">
        <v>14.4</v>
      </c>
      <c r="Q127" s="304"/>
      <c r="R127" s="297">
        <f t="shared" si="18"/>
        <v>0</v>
      </c>
      <c r="S127" s="300">
        <f>IF($B$7=$A$107,1,0)</f>
        <v>0</v>
      </c>
      <c r="T127" s="299">
        <v>1</v>
      </c>
      <c r="U127" s="298">
        <f t="shared" si="27"/>
        <v>0</v>
      </c>
      <c r="V127" s="294">
        <f t="shared" si="19"/>
        <v>0</v>
      </c>
      <c r="W127" s="295">
        <f t="shared" si="20"/>
        <v>0</v>
      </c>
      <c r="X127" s="295">
        <f t="shared" si="21"/>
        <v>0</v>
      </c>
      <c r="Y127" s="295">
        <f t="shared" si="22"/>
        <v>0</v>
      </c>
      <c r="Z127" s="295">
        <f t="shared" si="23"/>
        <v>0</v>
      </c>
      <c r="AA127" s="295">
        <f t="shared" si="24"/>
        <v>0</v>
      </c>
      <c r="AB127" s="294">
        <f t="shared" si="25"/>
        <v>0</v>
      </c>
      <c r="AC127" s="294">
        <f t="shared" si="26"/>
        <v>0</v>
      </c>
      <c r="AD127" s="305"/>
      <c r="AE127" s="305"/>
      <c r="AF127" s="305"/>
      <c r="AG127" s="305"/>
      <c r="AH127" s="305"/>
      <c r="AI127" s="305"/>
      <c r="AJ127" s="305"/>
      <c r="AK127" s="305"/>
      <c r="AL127" s="305"/>
      <c r="AM127" s="305"/>
      <c r="AN127" s="305"/>
      <c r="AO127" s="305"/>
      <c r="AP127" s="305"/>
      <c r="AQ127" s="305"/>
    </row>
    <row r="128" spans="1:43" ht="15" hidden="1" thickBot="1">
      <c r="A128" s="307" t="s">
        <v>179</v>
      </c>
      <c r="B128" s="296" t="s">
        <v>187</v>
      </c>
      <c r="C128" s="296">
        <v>1000</v>
      </c>
      <c r="D128" s="296" t="s">
        <v>508</v>
      </c>
      <c r="E128" s="296" t="s">
        <v>508</v>
      </c>
      <c r="F128" s="296">
        <v>23.5</v>
      </c>
      <c r="G128" s="296">
        <v>55.4</v>
      </c>
      <c r="H128" s="296">
        <v>54</v>
      </c>
      <c r="I128" s="296" t="s">
        <v>508</v>
      </c>
      <c r="J128" s="296">
        <v>8.86</v>
      </c>
      <c r="K128" s="296">
        <v>0.24</v>
      </c>
      <c r="L128" s="296">
        <v>0.17</v>
      </c>
      <c r="M128" s="296">
        <v>2</v>
      </c>
      <c r="N128" s="296">
        <v>5</v>
      </c>
      <c r="O128" s="296">
        <v>20</v>
      </c>
      <c r="P128" s="296">
        <v>10.8</v>
      </c>
      <c r="Q128" s="304"/>
      <c r="R128" s="297">
        <f t="shared" si="18"/>
        <v>0</v>
      </c>
      <c r="S128" s="300">
        <f>IF($B$7=$A$108,1,0)</f>
        <v>0</v>
      </c>
      <c r="T128" s="299">
        <v>1</v>
      </c>
      <c r="U128" s="298">
        <f t="shared" si="27"/>
        <v>0</v>
      </c>
      <c r="V128" s="294">
        <f t="shared" si="19"/>
        <v>0</v>
      </c>
      <c r="W128" s="295">
        <f t="shared" si="20"/>
        <v>0</v>
      </c>
      <c r="X128" s="295">
        <f t="shared" si="21"/>
        <v>0</v>
      </c>
      <c r="Y128" s="295">
        <f t="shared" si="22"/>
        <v>0</v>
      </c>
      <c r="Z128" s="295">
        <f t="shared" si="23"/>
        <v>0</v>
      </c>
      <c r="AA128" s="295">
        <f t="shared" si="24"/>
        <v>0</v>
      </c>
      <c r="AB128" s="294">
        <f t="shared" si="25"/>
        <v>0</v>
      </c>
      <c r="AC128" s="294">
        <f t="shared" si="26"/>
        <v>0</v>
      </c>
      <c r="AD128" s="305"/>
      <c r="AE128" s="305"/>
      <c r="AF128" s="305"/>
      <c r="AG128" s="305"/>
      <c r="AH128" s="305"/>
      <c r="AI128" s="305"/>
      <c r="AJ128" s="305"/>
      <c r="AK128" s="305"/>
      <c r="AL128" s="305"/>
      <c r="AM128" s="305"/>
      <c r="AN128" s="305"/>
      <c r="AO128" s="305"/>
      <c r="AP128" s="305"/>
      <c r="AQ128" s="305"/>
    </row>
    <row r="129" spans="1:43" ht="15" hidden="1" thickBot="1">
      <c r="A129" s="303"/>
      <c r="B129" s="301" t="s">
        <v>187</v>
      </c>
      <c r="C129" s="301">
        <v>1000</v>
      </c>
      <c r="D129" s="301" t="s">
        <v>508</v>
      </c>
      <c r="E129" s="301" t="s">
        <v>508</v>
      </c>
      <c r="F129" s="301">
        <v>22.7</v>
      </c>
      <c r="G129" s="301">
        <v>54</v>
      </c>
      <c r="H129" s="301">
        <v>52</v>
      </c>
      <c r="I129" s="301" t="s">
        <v>508</v>
      </c>
      <c r="J129" s="301">
        <v>8.17</v>
      </c>
      <c r="K129" s="301">
        <v>0.22</v>
      </c>
      <c r="L129" s="301">
        <v>0.15</v>
      </c>
      <c r="M129" s="301">
        <v>3</v>
      </c>
      <c r="N129" s="301">
        <v>6</v>
      </c>
      <c r="O129" s="301">
        <v>20</v>
      </c>
      <c r="P129" s="301">
        <v>7.8</v>
      </c>
      <c r="Q129" s="308"/>
      <c r="R129" s="297">
        <f t="shared" si="18"/>
        <v>0</v>
      </c>
      <c r="S129" s="293">
        <f>IF($B$7=$A$109,1,0)</f>
        <v>0</v>
      </c>
      <c r="T129" s="302">
        <v>1</v>
      </c>
      <c r="U129" s="298">
        <f t="shared" si="27"/>
        <v>0</v>
      </c>
      <c r="V129" s="294">
        <f t="shared" si="19"/>
        <v>0</v>
      </c>
      <c r="W129" s="295">
        <f t="shared" si="20"/>
        <v>0</v>
      </c>
      <c r="X129" s="295">
        <f t="shared" si="21"/>
        <v>0</v>
      </c>
      <c r="Y129" s="295">
        <f t="shared" si="22"/>
        <v>0</v>
      </c>
      <c r="Z129" s="295">
        <f t="shared" si="23"/>
        <v>0</v>
      </c>
      <c r="AA129" s="295">
        <f t="shared" si="24"/>
        <v>0</v>
      </c>
      <c r="AB129" s="294">
        <f t="shared" si="25"/>
        <v>0</v>
      </c>
      <c r="AC129" s="294">
        <f t="shared" si="26"/>
        <v>0</v>
      </c>
      <c r="AD129" s="305"/>
      <c r="AE129" s="305"/>
      <c r="AF129" s="305"/>
      <c r="AG129" s="305"/>
      <c r="AH129" s="305"/>
      <c r="AI129" s="305"/>
      <c r="AJ129" s="305"/>
      <c r="AK129" s="305"/>
      <c r="AL129" s="305"/>
      <c r="AM129" s="305"/>
      <c r="AN129" s="305"/>
      <c r="AO129" s="305"/>
      <c r="AP129" s="305"/>
      <c r="AQ129" s="305"/>
    </row>
    <row r="130" spans="1:43" ht="14.25" hidden="1">
      <c r="A130" s="303"/>
      <c r="B130" s="296" t="s">
        <v>187</v>
      </c>
      <c r="C130" s="296">
        <v>1000</v>
      </c>
      <c r="D130" s="296" t="s">
        <v>508</v>
      </c>
      <c r="E130" s="296" t="s">
        <v>508</v>
      </c>
      <c r="F130" s="296">
        <v>26.4</v>
      </c>
      <c r="G130" s="296">
        <v>62.8</v>
      </c>
      <c r="H130" s="296">
        <v>65</v>
      </c>
      <c r="I130" s="296" t="s">
        <v>508</v>
      </c>
      <c r="J130" s="296">
        <v>12.06</v>
      </c>
      <c r="K130" s="296">
        <v>0.35</v>
      </c>
      <c r="L130" s="296">
        <v>0.22</v>
      </c>
      <c r="M130" s="296" t="s">
        <v>508</v>
      </c>
      <c r="N130" s="296">
        <v>1</v>
      </c>
      <c r="O130" s="296">
        <v>30</v>
      </c>
      <c r="P130" s="296">
        <v>25</v>
      </c>
      <c r="Q130" s="304"/>
      <c r="R130" s="297">
        <f t="shared" si="18"/>
        <v>0</v>
      </c>
      <c r="S130" s="298">
        <f>IF($B$7=$A$104,1,0)</f>
        <v>0</v>
      </c>
      <c r="T130" s="299">
        <v>1</v>
      </c>
      <c r="U130" s="297">
        <f aca="true" t="shared" si="28" ref="U130:U135">IF($P$8=$A$128,1,0)</f>
        <v>0</v>
      </c>
      <c r="V130" s="294">
        <f t="shared" si="19"/>
        <v>0</v>
      </c>
      <c r="W130" s="295">
        <f t="shared" si="20"/>
        <v>0</v>
      </c>
      <c r="X130" s="295">
        <f t="shared" si="21"/>
        <v>0</v>
      </c>
      <c r="Y130" s="295">
        <f t="shared" si="22"/>
        <v>0</v>
      </c>
      <c r="Z130" s="295">
        <f t="shared" si="23"/>
        <v>0</v>
      </c>
      <c r="AA130" s="295">
        <f t="shared" si="24"/>
        <v>0</v>
      </c>
      <c r="AB130" s="294">
        <f t="shared" si="25"/>
        <v>0</v>
      </c>
      <c r="AC130" s="294">
        <f t="shared" si="26"/>
        <v>0</v>
      </c>
      <c r="AD130" s="305"/>
      <c r="AE130" s="305"/>
      <c r="AF130" s="305"/>
      <c r="AG130" s="305"/>
      <c r="AH130" s="305"/>
      <c r="AI130" s="305"/>
      <c r="AJ130" s="305"/>
      <c r="AK130" s="305"/>
      <c r="AL130" s="305"/>
      <c r="AM130" s="305"/>
      <c r="AN130" s="305"/>
      <c r="AO130" s="305"/>
      <c r="AP130" s="305"/>
      <c r="AQ130" s="305"/>
    </row>
    <row r="131" spans="1:43" ht="15" hidden="1">
      <c r="A131" s="309" t="s">
        <v>199</v>
      </c>
      <c r="B131" s="296" t="s">
        <v>187</v>
      </c>
      <c r="C131" s="296">
        <v>1000</v>
      </c>
      <c r="D131" s="296" t="s">
        <v>508</v>
      </c>
      <c r="E131" s="296" t="s">
        <v>508</v>
      </c>
      <c r="F131" s="296">
        <v>27.8</v>
      </c>
      <c r="G131" s="296">
        <v>64.5</v>
      </c>
      <c r="H131" s="296">
        <v>68</v>
      </c>
      <c r="I131" s="296" t="s">
        <v>508</v>
      </c>
      <c r="J131" s="296">
        <v>12.86</v>
      </c>
      <c r="K131" s="296">
        <v>0.38</v>
      </c>
      <c r="L131" s="296">
        <v>0.24</v>
      </c>
      <c r="M131" s="296" t="s">
        <v>508</v>
      </c>
      <c r="N131" s="296">
        <v>2</v>
      </c>
      <c r="O131" s="296">
        <v>30</v>
      </c>
      <c r="P131" s="296">
        <v>30</v>
      </c>
      <c r="Q131" s="304"/>
      <c r="R131" s="297">
        <f t="shared" si="18"/>
        <v>0</v>
      </c>
      <c r="S131" s="300">
        <f>IF($B$7=$A$105,1,0)</f>
        <v>0</v>
      </c>
      <c r="T131" s="299">
        <v>1</v>
      </c>
      <c r="U131" s="297">
        <f t="shared" si="28"/>
        <v>0</v>
      </c>
      <c r="V131" s="294">
        <f t="shared" si="19"/>
        <v>0</v>
      </c>
      <c r="W131" s="295">
        <f t="shared" si="20"/>
        <v>0</v>
      </c>
      <c r="X131" s="295">
        <f t="shared" si="21"/>
        <v>0</v>
      </c>
      <c r="Y131" s="295">
        <f t="shared" si="22"/>
        <v>0</v>
      </c>
      <c r="Z131" s="295">
        <f t="shared" si="23"/>
        <v>0</v>
      </c>
      <c r="AA131" s="295">
        <f t="shared" si="24"/>
        <v>0</v>
      </c>
      <c r="AB131" s="294">
        <f t="shared" si="25"/>
        <v>0</v>
      </c>
      <c r="AC131" s="294">
        <f t="shared" si="26"/>
        <v>0</v>
      </c>
      <c r="AD131" s="305"/>
      <c r="AE131" s="305"/>
      <c r="AF131" s="305"/>
      <c r="AG131" s="305"/>
      <c r="AH131" s="305"/>
      <c r="AI131" s="305"/>
      <c r="AJ131" s="305"/>
      <c r="AK131" s="305"/>
      <c r="AL131" s="305"/>
      <c r="AM131" s="305"/>
      <c r="AN131" s="305"/>
      <c r="AO131" s="305"/>
      <c r="AP131" s="305"/>
      <c r="AQ131" s="305"/>
    </row>
    <row r="132" spans="1:43" ht="14.25" hidden="1">
      <c r="A132" s="310" t="s">
        <v>204</v>
      </c>
      <c r="B132" s="296" t="s">
        <v>187</v>
      </c>
      <c r="C132" s="296">
        <v>1000</v>
      </c>
      <c r="D132" s="296" t="s">
        <v>508</v>
      </c>
      <c r="E132" s="296" t="s">
        <v>508</v>
      </c>
      <c r="F132" s="296">
        <v>27.8</v>
      </c>
      <c r="G132" s="296">
        <v>62.1</v>
      </c>
      <c r="H132" s="296">
        <v>64</v>
      </c>
      <c r="I132" s="296" t="s">
        <v>508</v>
      </c>
      <c r="J132" s="296">
        <v>12</v>
      </c>
      <c r="K132" s="296">
        <v>0.35</v>
      </c>
      <c r="L132" s="296">
        <v>0.22</v>
      </c>
      <c r="M132" s="296" t="s">
        <v>508</v>
      </c>
      <c r="N132" s="296">
        <v>3</v>
      </c>
      <c r="O132" s="296">
        <v>30</v>
      </c>
      <c r="P132" s="296">
        <v>27</v>
      </c>
      <c r="Q132" s="304"/>
      <c r="R132" s="297">
        <f t="shared" si="18"/>
        <v>0</v>
      </c>
      <c r="S132" s="300">
        <f>IF($B$7=$A$106,1,0)</f>
        <v>0</v>
      </c>
      <c r="T132" s="299">
        <v>1</v>
      </c>
      <c r="U132" s="297">
        <f t="shared" si="28"/>
        <v>0</v>
      </c>
      <c r="V132" s="294">
        <f t="shared" si="19"/>
        <v>0</v>
      </c>
      <c r="W132" s="295">
        <f t="shared" si="20"/>
        <v>0</v>
      </c>
      <c r="X132" s="295">
        <f t="shared" si="21"/>
        <v>0</v>
      </c>
      <c r="Y132" s="295">
        <f t="shared" si="22"/>
        <v>0</v>
      </c>
      <c r="Z132" s="295">
        <f t="shared" si="23"/>
        <v>0</v>
      </c>
      <c r="AA132" s="295">
        <f t="shared" si="24"/>
        <v>0</v>
      </c>
      <c r="AB132" s="294">
        <f t="shared" si="25"/>
        <v>0</v>
      </c>
      <c r="AC132" s="294">
        <f t="shared" si="26"/>
        <v>0</v>
      </c>
      <c r="AD132" s="305"/>
      <c r="AE132" s="305"/>
      <c r="AF132" s="305"/>
      <c r="AG132" s="305"/>
      <c r="AH132" s="305"/>
      <c r="AI132" s="305"/>
      <c r="AJ132" s="305"/>
      <c r="AK132" s="305"/>
      <c r="AL132" s="305"/>
      <c r="AM132" s="305"/>
      <c r="AN132" s="305"/>
      <c r="AO132" s="305"/>
      <c r="AP132" s="305"/>
      <c r="AQ132" s="305"/>
    </row>
    <row r="133" spans="1:43" ht="14.25" hidden="1">
      <c r="A133" s="310" t="s">
        <v>197</v>
      </c>
      <c r="B133" s="296" t="s">
        <v>187</v>
      </c>
      <c r="C133" s="296">
        <v>1000</v>
      </c>
      <c r="D133" s="296" t="s">
        <v>508</v>
      </c>
      <c r="E133" s="296" t="s">
        <v>508</v>
      </c>
      <c r="F133" s="296">
        <v>26.4</v>
      </c>
      <c r="G133" s="296">
        <v>60.1</v>
      </c>
      <c r="H133" s="296">
        <v>61</v>
      </c>
      <c r="I133" s="296" t="s">
        <v>508</v>
      </c>
      <c r="J133" s="296">
        <v>11.07</v>
      </c>
      <c r="K133" s="296">
        <v>0.32</v>
      </c>
      <c r="L133" s="296">
        <v>0.21</v>
      </c>
      <c r="M133" s="296">
        <v>1</v>
      </c>
      <c r="N133" s="296">
        <v>4</v>
      </c>
      <c r="O133" s="296">
        <v>30</v>
      </c>
      <c r="P133" s="296">
        <v>21.6</v>
      </c>
      <c r="Q133" s="304"/>
      <c r="R133" s="297">
        <f t="shared" si="18"/>
        <v>0</v>
      </c>
      <c r="S133" s="300">
        <f>IF($B$7=$A$107,1,0)</f>
        <v>0</v>
      </c>
      <c r="T133" s="299">
        <v>1</v>
      </c>
      <c r="U133" s="297">
        <f t="shared" si="28"/>
        <v>0</v>
      </c>
      <c r="V133" s="294">
        <f t="shared" si="19"/>
        <v>0</v>
      </c>
      <c r="W133" s="295">
        <f t="shared" si="20"/>
        <v>0</v>
      </c>
      <c r="X133" s="295">
        <f t="shared" si="21"/>
        <v>0</v>
      </c>
      <c r="Y133" s="295">
        <f t="shared" si="22"/>
        <v>0</v>
      </c>
      <c r="Z133" s="295">
        <f t="shared" si="23"/>
        <v>0</v>
      </c>
      <c r="AA133" s="295">
        <f t="shared" si="24"/>
        <v>0</v>
      </c>
      <c r="AB133" s="294">
        <f t="shared" si="25"/>
        <v>0</v>
      </c>
      <c r="AC133" s="294">
        <f t="shared" si="26"/>
        <v>0</v>
      </c>
      <c r="AD133" s="305"/>
      <c r="AE133" s="305"/>
      <c r="AF133" s="305"/>
      <c r="AG133" s="305"/>
      <c r="AH133" s="305"/>
      <c r="AI133" s="305"/>
      <c r="AJ133" s="305"/>
      <c r="AK133" s="305"/>
      <c r="AL133" s="305"/>
      <c r="AM133" s="305"/>
      <c r="AN133" s="305"/>
      <c r="AO133" s="305"/>
      <c r="AP133" s="305"/>
      <c r="AQ133" s="305"/>
    </row>
    <row r="134" spans="1:43" ht="14.25" hidden="1">
      <c r="A134" s="310" t="s">
        <v>200</v>
      </c>
      <c r="B134" s="296" t="s">
        <v>187</v>
      </c>
      <c r="C134" s="296">
        <v>1000</v>
      </c>
      <c r="D134" s="296" t="s">
        <v>508</v>
      </c>
      <c r="E134" s="296" t="s">
        <v>508</v>
      </c>
      <c r="F134" s="296">
        <v>24.9</v>
      </c>
      <c r="G134" s="296">
        <v>57.9</v>
      </c>
      <c r="H134" s="296">
        <v>58</v>
      </c>
      <c r="I134" s="296" t="s">
        <v>508</v>
      </c>
      <c r="J134" s="296">
        <v>10.04</v>
      </c>
      <c r="K134" s="296">
        <v>0.28</v>
      </c>
      <c r="L134" s="296">
        <v>0.19</v>
      </c>
      <c r="M134" s="296">
        <v>2</v>
      </c>
      <c r="N134" s="296">
        <v>5</v>
      </c>
      <c r="O134" s="296">
        <v>30</v>
      </c>
      <c r="P134" s="296">
        <v>16.2</v>
      </c>
      <c r="Q134" s="304"/>
      <c r="R134" s="297">
        <f t="shared" si="18"/>
        <v>0</v>
      </c>
      <c r="S134" s="300">
        <f>IF($B$7=$A$108,1,0)</f>
        <v>0</v>
      </c>
      <c r="T134" s="299">
        <v>1</v>
      </c>
      <c r="U134" s="297">
        <f t="shared" si="28"/>
        <v>0</v>
      </c>
      <c r="V134" s="294">
        <f t="shared" si="19"/>
        <v>0</v>
      </c>
      <c r="W134" s="295">
        <f t="shared" si="20"/>
        <v>0</v>
      </c>
      <c r="X134" s="295">
        <f t="shared" si="21"/>
        <v>0</v>
      </c>
      <c r="Y134" s="295">
        <f t="shared" si="22"/>
        <v>0</v>
      </c>
      <c r="Z134" s="295">
        <f t="shared" si="23"/>
        <v>0</v>
      </c>
      <c r="AA134" s="295">
        <f t="shared" si="24"/>
        <v>0</v>
      </c>
      <c r="AB134" s="294">
        <f t="shared" si="25"/>
        <v>0</v>
      </c>
      <c r="AC134" s="294">
        <f t="shared" si="26"/>
        <v>0</v>
      </c>
      <c r="AD134" s="305"/>
      <c r="AE134" s="305"/>
      <c r="AF134" s="305"/>
      <c r="AG134" s="305"/>
      <c r="AH134" s="305"/>
      <c r="AI134" s="305"/>
      <c r="AJ134" s="305"/>
      <c r="AK134" s="305"/>
      <c r="AL134" s="305"/>
      <c r="AM134" s="305"/>
      <c r="AN134" s="305"/>
      <c r="AO134" s="305"/>
      <c r="AP134" s="305"/>
      <c r="AQ134" s="305"/>
    </row>
    <row r="135" spans="1:43" ht="15" hidden="1" thickBot="1">
      <c r="A135" s="310" t="s">
        <v>201</v>
      </c>
      <c r="B135" s="301" t="s">
        <v>187</v>
      </c>
      <c r="C135" s="301">
        <v>1000</v>
      </c>
      <c r="D135" s="301" t="s">
        <v>508</v>
      </c>
      <c r="E135" s="301" t="s">
        <v>508</v>
      </c>
      <c r="F135" s="301">
        <v>23.7</v>
      </c>
      <c r="G135" s="301">
        <v>55.9</v>
      </c>
      <c r="H135" s="301">
        <v>55</v>
      </c>
      <c r="I135" s="301" t="s">
        <v>508</v>
      </c>
      <c r="J135" s="301">
        <v>9.09</v>
      </c>
      <c r="K135" s="301">
        <v>0.25</v>
      </c>
      <c r="L135" s="301">
        <v>0.17</v>
      </c>
      <c r="M135" s="301">
        <v>3</v>
      </c>
      <c r="N135" s="301">
        <v>6</v>
      </c>
      <c r="O135" s="301">
        <v>30</v>
      </c>
      <c r="P135" s="301">
        <v>11.7</v>
      </c>
      <c r="Q135" s="308"/>
      <c r="R135" s="297">
        <f t="shared" si="18"/>
        <v>0</v>
      </c>
      <c r="S135" s="293">
        <f>IF($B$7=$A$109,1,0)</f>
        <v>0</v>
      </c>
      <c r="T135" s="302">
        <v>1</v>
      </c>
      <c r="U135" s="297">
        <f t="shared" si="28"/>
        <v>0</v>
      </c>
      <c r="V135" s="294">
        <f t="shared" si="19"/>
        <v>0</v>
      </c>
      <c r="W135" s="295">
        <f t="shared" si="20"/>
        <v>0</v>
      </c>
      <c r="X135" s="295">
        <f t="shared" si="21"/>
        <v>0</v>
      </c>
      <c r="Y135" s="295">
        <f t="shared" si="22"/>
        <v>0</v>
      </c>
      <c r="Z135" s="295">
        <f t="shared" si="23"/>
        <v>0</v>
      </c>
      <c r="AA135" s="295">
        <f t="shared" si="24"/>
        <v>0</v>
      </c>
      <c r="AB135" s="294">
        <f t="shared" si="25"/>
        <v>0</v>
      </c>
      <c r="AC135" s="294">
        <f t="shared" si="26"/>
        <v>0</v>
      </c>
      <c r="AD135" s="305"/>
      <c r="AE135" s="305"/>
      <c r="AF135" s="305"/>
      <c r="AG135" s="305"/>
      <c r="AH135" s="305"/>
      <c r="AI135" s="305"/>
      <c r="AJ135" s="305"/>
      <c r="AK135" s="305"/>
      <c r="AL135" s="305"/>
      <c r="AM135" s="305"/>
      <c r="AN135" s="305"/>
      <c r="AO135" s="305"/>
      <c r="AP135" s="305"/>
      <c r="AQ135" s="305"/>
    </row>
    <row r="136" spans="1:43" ht="14.25" hidden="1">
      <c r="A136" s="310" t="s">
        <v>202</v>
      </c>
      <c r="B136" s="296" t="s">
        <v>187</v>
      </c>
      <c r="C136" s="296">
        <v>1000</v>
      </c>
      <c r="D136" s="296" t="s">
        <v>508</v>
      </c>
      <c r="E136" s="296" t="s">
        <v>508</v>
      </c>
      <c r="F136" s="296">
        <v>21.1</v>
      </c>
      <c r="G136" s="296">
        <v>44.9</v>
      </c>
      <c r="H136" s="296">
        <v>37</v>
      </c>
      <c r="I136" s="296" t="s">
        <v>508</v>
      </c>
      <c r="J136" s="296">
        <v>5.98</v>
      </c>
      <c r="K136" s="296">
        <v>0.15</v>
      </c>
      <c r="L136" s="296">
        <v>0.11</v>
      </c>
      <c r="M136" s="296" t="s">
        <v>255</v>
      </c>
      <c r="N136" s="296">
        <v>7</v>
      </c>
      <c r="O136" s="296" t="s">
        <v>508</v>
      </c>
      <c r="P136" s="296">
        <v>0</v>
      </c>
      <c r="Q136" s="304"/>
      <c r="R136" s="297">
        <f t="shared" si="18"/>
        <v>0</v>
      </c>
      <c r="S136" s="311">
        <f aca="true" t="shared" si="29" ref="S136:S142">IF($B$7=$A$110,1,0)</f>
        <v>1</v>
      </c>
      <c r="T136" s="300">
        <f>B198</f>
        <v>0</v>
      </c>
      <c r="U136" s="299">
        <v>1</v>
      </c>
      <c r="V136" s="294">
        <f>R136*S136*T136*U136</f>
        <v>0</v>
      </c>
      <c r="W136" s="295">
        <f>IF(V136=1,G136,0)</f>
        <v>0</v>
      </c>
      <c r="X136" s="295">
        <f>IF(V136=1,H136,0)</f>
        <v>0</v>
      </c>
      <c r="Y136" s="295">
        <f>IF(V136=1,J136,0)</f>
        <v>0</v>
      </c>
      <c r="Z136" s="295">
        <f>IF(V136=1,K136,0)</f>
        <v>0</v>
      </c>
      <c r="AA136" s="295">
        <f>IF(V136=1,L136,0)</f>
        <v>0</v>
      </c>
      <c r="AB136" s="294">
        <f t="shared" si="25"/>
        <v>0</v>
      </c>
      <c r="AC136" s="294">
        <f t="shared" si="26"/>
        <v>0</v>
      </c>
      <c r="AD136" s="305"/>
      <c r="AE136" s="305"/>
      <c r="AF136" s="305"/>
      <c r="AG136" s="305"/>
      <c r="AH136" s="305"/>
      <c r="AI136" s="305"/>
      <c r="AJ136" s="305"/>
      <c r="AK136" s="305"/>
      <c r="AL136" s="305"/>
      <c r="AM136" s="305"/>
      <c r="AN136" s="305"/>
      <c r="AO136" s="305"/>
      <c r="AP136" s="305"/>
      <c r="AQ136" s="305"/>
    </row>
    <row r="137" spans="1:43" ht="14.25" hidden="1">
      <c r="A137" s="310" t="s">
        <v>203</v>
      </c>
      <c r="B137" s="296" t="s">
        <v>187</v>
      </c>
      <c r="C137" s="296">
        <v>1000</v>
      </c>
      <c r="D137" s="296" t="s">
        <v>508</v>
      </c>
      <c r="E137" s="296" t="s">
        <v>508</v>
      </c>
      <c r="F137" s="296">
        <v>21.1</v>
      </c>
      <c r="G137" s="296">
        <v>44.9</v>
      </c>
      <c r="H137" s="296">
        <v>37</v>
      </c>
      <c r="I137" s="296" t="s">
        <v>508</v>
      </c>
      <c r="J137" s="296">
        <v>5.98</v>
      </c>
      <c r="K137" s="296">
        <v>0.15</v>
      </c>
      <c r="L137" s="296">
        <v>0.11</v>
      </c>
      <c r="M137" s="296">
        <v>4</v>
      </c>
      <c r="N137" s="296">
        <v>7</v>
      </c>
      <c r="O137" s="296" t="s">
        <v>508</v>
      </c>
      <c r="P137" s="296">
        <v>0</v>
      </c>
      <c r="Q137" s="304"/>
      <c r="R137" s="297">
        <f t="shared" si="18"/>
        <v>0</v>
      </c>
      <c r="S137" s="311">
        <f t="shared" si="29"/>
        <v>1</v>
      </c>
      <c r="T137" s="300">
        <f>IF($B$8=$A$88,1,0)</f>
        <v>0</v>
      </c>
      <c r="U137" s="299">
        <v>1</v>
      </c>
      <c r="V137" s="294">
        <f t="shared" si="19"/>
        <v>0</v>
      </c>
      <c r="W137" s="295">
        <f t="shared" si="20"/>
        <v>0</v>
      </c>
      <c r="X137" s="295">
        <f t="shared" si="21"/>
        <v>0</v>
      </c>
      <c r="Y137" s="295">
        <f t="shared" si="22"/>
        <v>0</v>
      </c>
      <c r="Z137" s="295">
        <f t="shared" si="23"/>
        <v>0</v>
      </c>
      <c r="AA137" s="295">
        <f t="shared" si="24"/>
        <v>0</v>
      </c>
      <c r="AB137" s="294">
        <f t="shared" si="25"/>
        <v>0</v>
      </c>
      <c r="AC137" s="294">
        <f t="shared" si="26"/>
        <v>0</v>
      </c>
      <c r="AD137" s="305"/>
      <c r="AE137" s="305"/>
      <c r="AF137" s="305"/>
      <c r="AG137" s="305"/>
      <c r="AH137" s="305"/>
      <c r="AI137" s="305"/>
      <c r="AJ137" s="305"/>
      <c r="AK137" s="305"/>
      <c r="AL137" s="305"/>
      <c r="AM137" s="305"/>
      <c r="AN137" s="305"/>
      <c r="AO137" s="305"/>
      <c r="AP137" s="305"/>
      <c r="AQ137" s="305"/>
    </row>
    <row r="138" spans="1:43" ht="14.25" hidden="1">
      <c r="A138" s="303"/>
      <c r="B138" s="296" t="s">
        <v>187</v>
      </c>
      <c r="C138" s="296">
        <v>1000</v>
      </c>
      <c r="D138" s="296" t="s">
        <v>508</v>
      </c>
      <c r="E138" s="296" t="s">
        <v>508</v>
      </c>
      <c r="F138" s="296">
        <v>21</v>
      </c>
      <c r="G138" s="296">
        <v>45.7</v>
      </c>
      <c r="H138" s="296">
        <v>38</v>
      </c>
      <c r="I138" s="296" t="s">
        <v>508</v>
      </c>
      <c r="J138" s="296">
        <v>6.16</v>
      </c>
      <c r="K138" s="296">
        <v>0.15</v>
      </c>
      <c r="L138" s="296">
        <v>0.11</v>
      </c>
      <c r="M138" s="296">
        <v>5</v>
      </c>
      <c r="N138" s="296">
        <v>8</v>
      </c>
      <c r="O138" s="296" t="s">
        <v>508</v>
      </c>
      <c r="P138" s="296">
        <v>0</v>
      </c>
      <c r="Q138" s="304"/>
      <c r="R138" s="297">
        <f t="shared" si="18"/>
        <v>0</v>
      </c>
      <c r="S138" s="311">
        <f t="shared" si="29"/>
        <v>1</v>
      </c>
      <c r="T138" s="300">
        <f>IF($B$8=$A$89,1,0)</f>
        <v>0</v>
      </c>
      <c r="U138" s="299">
        <v>1</v>
      </c>
      <c r="V138" s="294">
        <f t="shared" si="19"/>
        <v>0</v>
      </c>
      <c r="W138" s="295">
        <f t="shared" si="20"/>
        <v>0</v>
      </c>
      <c r="X138" s="295">
        <f t="shared" si="21"/>
        <v>0</v>
      </c>
      <c r="Y138" s="295">
        <f t="shared" si="22"/>
        <v>0</v>
      </c>
      <c r="Z138" s="295">
        <f t="shared" si="23"/>
        <v>0</v>
      </c>
      <c r="AA138" s="295">
        <f t="shared" si="24"/>
        <v>0</v>
      </c>
      <c r="AB138" s="294">
        <f t="shared" si="25"/>
        <v>0</v>
      </c>
      <c r="AC138" s="294">
        <f t="shared" si="26"/>
        <v>0</v>
      </c>
      <c r="AD138" s="305"/>
      <c r="AE138" s="305"/>
      <c r="AF138" s="305"/>
      <c r="AG138" s="305"/>
      <c r="AH138" s="305"/>
      <c r="AI138" s="305"/>
      <c r="AJ138" s="305"/>
      <c r="AK138" s="305"/>
      <c r="AL138" s="305"/>
      <c r="AM138" s="305"/>
      <c r="AN138" s="305"/>
      <c r="AO138" s="305"/>
      <c r="AP138" s="305"/>
      <c r="AQ138" s="305"/>
    </row>
    <row r="139" spans="1:43" ht="14.25" hidden="1">
      <c r="A139" s="303"/>
      <c r="B139" s="296" t="s">
        <v>187</v>
      </c>
      <c r="C139" s="296">
        <v>1000</v>
      </c>
      <c r="D139" s="296" t="s">
        <v>508</v>
      </c>
      <c r="E139" s="296" t="s">
        <v>508</v>
      </c>
      <c r="F139" s="296">
        <v>20.9</v>
      </c>
      <c r="G139" s="296">
        <v>47</v>
      </c>
      <c r="H139" s="296">
        <v>40</v>
      </c>
      <c r="I139" s="296" t="s">
        <v>508</v>
      </c>
      <c r="J139" s="296">
        <v>6.47</v>
      </c>
      <c r="K139" s="296">
        <v>0.15</v>
      </c>
      <c r="L139" s="296">
        <v>0.11</v>
      </c>
      <c r="M139" s="296">
        <v>6</v>
      </c>
      <c r="N139" s="296">
        <v>9</v>
      </c>
      <c r="O139" s="296" t="s">
        <v>508</v>
      </c>
      <c r="P139" s="296">
        <v>0</v>
      </c>
      <c r="Q139" s="304"/>
      <c r="R139" s="297">
        <f t="shared" si="18"/>
        <v>0</v>
      </c>
      <c r="S139" s="311">
        <f t="shared" si="29"/>
        <v>1</v>
      </c>
      <c r="T139" s="300">
        <f>IF($B$8=$A$90,1,0)</f>
        <v>1</v>
      </c>
      <c r="U139" s="299">
        <v>1</v>
      </c>
      <c r="V139" s="294">
        <f t="shared" si="19"/>
        <v>0</v>
      </c>
      <c r="W139" s="295">
        <f t="shared" si="20"/>
        <v>0</v>
      </c>
      <c r="X139" s="295">
        <f t="shared" si="21"/>
        <v>0</v>
      </c>
      <c r="Y139" s="295">
        <f t="shared" si="22"/>
        <v>0</v>
      </c>
      <c r="Z139" s="295">
        <f t="shared" si="23"/>
        <v>0</v>
      </c>
      <c r="AA139" s="295">
        <f t="shared" si="24"/>
        <v>0</v>
      </c>
      <c r="AB139" s="294">
        <f t="shared" si="25"/>
        <v>0</v>
      </c>
      <c r="AC139" s="294">
        <f t="shared" si="26"/>
        <v>0</v>
      </c>
      <c r="AD139" s="305"/>
      <c r="AE139" s="305"/>
      <c r="AF139" s="305"/>
      <c r="AG139" s="305"/>
      <c r="AH139" s="305"/>
      <c r="AI139" s="305"/>
      <c r="AJ139" s="305"/>
      <c r="AK139" s="305"/>
      <c r="AL139" s="305"/>
      <c r="AM139" s="305"/>
      <c r="AN139" s="305"/>
      <c r="AO139" s="305"/>
      <c r="AP139" s="305"/>
      <c r="AQ139" s="305"/>
    </row>
    <row r="140" spans="1:43" ht="14.25" hidden="1">
      <c r="A140" s="303"/>
      <c r="B140" s="296" t="s">
        <v>187</v>
      </c>
      <c r="C140" s="296">
        <v>1000</v>
      </c>
      <c r="D140" s="296" t="s">
        <v>508</v>
      </c>
      <c r="E140" s="296" t="s">
        <v>508</v>
      </c>
      <c r="F140" s="296">
        <v>20.8</v>
      </c>
      <c r="G140" s="296">
        <v>49.1</v>
      </c>
      <c r="H140" s="296">
        <v>44</v>
      </c>
      <c r="I140" s="296" t="s">
        <v>508</v>
      </c>
      <c r="J140" s="296">
        <v>6.95</v>
      </c>
      <c r="K140" s="296">
        <v>0.24</v>
      </c>
      <c r="L140" s="296">
        <v>0.15</v>
      </c>
      <c r="M140" s="296">
        <v>7</v>
      </c>
      <c r="N140" s="296">
        <v>10</v>
      </c>
      <c r="O140" s="296" t="s">
        <v>508</v>
      </c>
      <c r="P140" s="296">
        <v>0</v>
      </c>
      <c r="Q140" s="304"/>
      <c r="R140" s="297">
        <f t="shared" si="18"/>
        <v>0</v>
      </c>
      <c r="S140" s="311">
        <f t="shared" si="29"/>
        <v>1</v>
      </c>
      <c r="T140" s="300">
        <f>IF($B$8=$A$91,1,0)</f>
        <v>0</v>
      </c>
      <c r="U140" s="299">
        <v>1</v>
      </c>
      <c r="V140" s="294">
        <f t="shared" si="19"/>
        <v>0</v>
      </c>
      <c r="W140" s="295">
        <f t="shared" si="20"/>
        <v>0</v>
      </c>
      <c r="X140" s="295">
        <f t="shared" si="21"/>
        <v>0</v>
      </c>
      <c r="Y140" s="295">
        <f t="shared" si="22"/>
        <v>0</v>
      </c>
      <c r="Z140" s="295">
        <f t="shared" si="23"/>
        <v>0</v>
      </c>
      <c r="AA140" s="295">
        <f t="shared" si="24"/>
        <v>0</v>
      </c>
      <c r="AB140" s="294">
        <f t="shared" si="25"/>
        <v>0</v>
      </c>
      <c r="AC140" s="294">
        <f t="shared" si="26"/>
        <v>0</v>
      </c>
      <c r="AD140" s="305"/>
      <c r="AE140" s="305"/>
      <c r="AF140" s="305"/>
      <c r="AG140" s="305"/>
      <c r="AH140" s="305"/>
      <c r="AI140" s="305"/>
      <c r="AJ140" s="305"/>
      <c r="AK140" s="305"/>
      <c r="AL140" s="305"/>
      <c r="AM140" s="305"/>
      <c r="AN140" s="305"/>
      <c r="AO140" s="305"/>
      <c r="AP140" s="305"/>
      <c r="AQ140" s="305"/>
    </row>
    <row r="141" spans="1:43" ht="14.25" hidden="1">
      <c r="A141" s="303"/>
      <c r="B141" s="296" t="s">
        <v>187</v>
      </c>
      <c r="C141" s="296">
        <v>1000</v>
      </c>
      <c r="D141" s="296" t="s">
        <v>508</v>
      </c>
      <c r="E141" s="296" t="s">
        <v>508</v>
      </c>
      <c r="F141" s="312">
        <v>21</v>
      </c>
      <c r="G141" s="312">
        <v>52</v>
      </c>
      <c r="H141" s="312">
        <v>49</v>
      </c>
      <c r="I141" s="296" t="s">
        <v>508</v>
      </c>
      <c r="J141" s="312">
        <v>7.66</v>
      </c>
      <c r="K141" s="312">
        <v>0.24</v>
      </c>
      <c r="L141" s="312">
        <v>0.15</v>
      </c>
      <c r="M141" s="296">
        <v>8</v>
      </c>
      <c r="N141" s="296">
        <v>11</v>
      </c>
      <c r="O141" s="312" t="s">
        <v>508</v>
      </c>
      <c r="P141" s="312">
        <v>0</v>
      </c>
      <c r="Q141" s="304"/>
      <c r="R141" s="297">
        <f t="shared" si="18"/>
        <v>0</v>
      </c>
      <c r="S141" s="311">
        <f t="shared" si="29"/>
        <v>1</v>
      </c>
      <c r="T141" s="300">
        <f>IF($B$8=$A$92,1,0)</f>
        <v>0</v>
      </c>
      <c r="U141" s="299">
        <v>1</v>
      </c>
      <c r="V141" s="294">
        <f t="shared" si="19"/>
        <v>0</v>
      </c>
      <c r="W141" s="295">
        <f t="shared" si="20"/>
        <v>0</v>
      </c>
      <c r="X141" s="295">
        <f t="shared" si="21"/>
        <v>0</v>
      </c>
      <c r="Y141" s="295">
        <f t="shared" si="22"/>
        <v>0</v>
      </c>
      <c r="Z141" s="295">
        <f t="shared" si="23"/>
        <v>0</v>
      </c>
      <c r="AA141" s="295">
        <f t="shared" si="24"/>
        <v>0</v>
      </c>
      <c r="AB141" s="294">
        <f t="shared" si="25"/>
        <v>0</v>
      </c>
      <c r="AC141" s="294">
        <f t="shared" si="26"/>
        <v>0</v>
      </c>
      <c r="AD141" s="305"/>
      <c r="AE141" s="305"/>
      <c r="AF141" s="305"/>
      <c r="AG141" s="305"/>
      <c r="AH141" s="305"/>
      <c r="AI141" s="305"/>
      <c r="AJ141" s="305"/>
      <c r="AK141" s="305"/>
      <c r="AL141" s="305"/>
      <c r="AM141" s="305"/>
      <c r="AN141" s="305"/>
      <c r="AO141" s="305"/>
      <c r="AP141" s="305"/>
      <c r="AQ141" s="305"/>
    </row>
    <row r="142" spans="1:43" ht="15" hidden="1" thickBot="1">
      <c r="A142" s="303"/>
      <c r="B142" s="301" t="s">
        <v>187</v>
      </c>
      <c r="C142" s="301">
        <v>1000</v>
      </c>
      <c r="D142" s="301" t="s">
        <v>508</v>
      </c>
      <c r="E142" s="301" t="s">
        <v>508</v>
      </c>
      <c r="F142" s="301">
        <v>21.4</v>
      </c>
      <c r="G142" s="301">
        <v>55.7</v>
      </c>
      <c r="H142" s="301">
        <v>54</v>
      </c>
      <c r="I142" s="301" t="s">
        <v>508</v>
      </c>
      <c r="J142" s="301">
        <v>8.67</v>
      </c>
      <c r="K142" s="301">
        <v>0.24</v>
      </c>
      <c r="L142" s="301">
        <v>0.15</v>
      </c>
      <c r="M142" s="301">
        <v>9</v>
      </c>
      <c r="N142" s="301">
        <v>12</v>
      </c>
      <c r="O142" s="301" t="s">
        <v>508</v>
      </c>
      <c r="P142" s="301">
        <v>0</v>
      </c>
      <c r="Q142" s="308"/>
      <c r="R142" s="297">
        <f t="shared" si="18"/>
        <v>0</v>
      </c>
      <c r="S142" s="313">
        <f t="shared" si="29"/>
        <v>1</v>
      </c>
      <c r="T142" s="293">
        <f>IF($B$8=$A$93,1,0)</f>
        <v>0</v>
      </c>
      <c r="U142" s="302">
        <v>1</v>
      </c>
      <c r="V142" s="294">
        <f t="shared" si="19"/>
        <v>0</v>
      </c>
      <c r="W142" s="295">
        <f t="shared" si="20"/>
        <v>0</v>
      </c>
      <c r="X142" s="295">
        <f t="shared" si="21"/>
        <v>0</v>
      </c>
      <c r="Y142" s="295">
        <f t="shared" si="22"/>
        <v>0</v>
      </c>
      <c r="Z142" s="295">
        <f t="shared" si="23"/>
        <v>0</v>
      </c>
      <c r="AA142" s="295">
        <f t="shared" si="24"/>
        <v>0</v>
      </c>
      <c r="AB142" s="294">
        <f t="shared" si="25"/>
        <v>0</v>
      </c>
      <c r="AC142" s="294">
        <f t="shared" si="26"/>
        <v>0</v>
      </c>
      <c r="AD142" s="305"/>
      <c r="AE142" s="305"/>
      <c r="AF142" s="305"/>
      <c r="AG142" s="305"/>
      <c r="AH142" s="305"/>
      <c r="AI142" s="305"/>
      <c r="AJ142" s="305"/>
      <c r="AK142" s="305"/>
      <c r="AL142" s="305"/>
      <c r="AM142" s="305"/>
      <c r="AN142" s="305"/>
      <c r="AO142" s="305"/>
      <c r="AP142" s="305"/>
      <c r="AQ142" s="305"/>
    </row>
    <row r="143" spans="1:43" ht="15" hidden="1" thickBot="1">
      <c r="A143" s="303"/>
      <c r="B143" s="296" t="s">
        <v>187</v>
      </c>
      <c r="C143" s="296">
        <v>1200</v>
      </c>
      <c r="D143" s="296" t="s">
        <v>508</v>
      </c>
      <c r="E143" s="296" t="s">
        <v>508</v>
      </c>
      <c r="F143" s="296">
        <v>24.4</v>
      </c>
      <c r="G143" s="296">
        <v>55.3</v>
      </c>
      <c r="H143" s="296">
        <v>54</v>
      </c>
      <c r="I143" s="296" t="s">
        <v>508</v>
      </c>
      <c r="J143" s="296">
        <v>8.43</v>
      </c>
      <c r="K143" s="296">
        <v>0.24</v>
      </c>
      <c r="L143" s="296">
        <v>0.17</v>
      </c>
      <c r="M143" s="296" t="s">
        <v>508</v>
      </c>
      <c r="N143" s="296">
        <v>1</v>
      </c>
      <c r="O143" s="296">
        <v>10</v>
      </c>
      <c r="P143" s="296">
        <v>8.3</v>
      </c>
      <c r="Q143" s="304"/>
      <c r="R143" s="311">
        <f>IF(AND(1099.9999&lt;$B$6,$B$6&lt;1300),1,0)</f>
        <v>0</v>
      </c>
      <c r="S143" s="298">
        <f>IF($B$7=$A$104,1,0)</f>
        <v>0</v>
      </c>
      <c r="T143" s="299">
        <v>1</v>
      </c>
      <c r="U143" s="298">
        <f aca="true" t="shared" si="30" ref="U143:U148">IF($P$8=$A$126,1,0)</f>
        <v>0</v>
      </c>
      <c r="V143" s="294">
        <f t="shared" si="19"/>
        <v>0</v>
      </c>
      <c r="W143" s="295">
        <f t="shared" si="20"/>
        <v>0</v>
      </c>
      <c r="X143" s="295">
        <f t="shared" si="21"/>
        <v>0</v>
      </c>
      <c r="Y143" s="295">
        <f t="shared" si="22"/>
        <v>0</v>
      </c>
      <c r="Z143" s="295">
        <f t="shared" si="23"/>
        <v>0</v>
      </c>
      <c r="AA143" s="295">
        <f t="shared" si="24"/>
        <v>0</v>
      </c>
      <c r="AB143" s="294">
        <f t="shared" si="25"/>
        <v>0</v>
      </c>
      <c r="AC143" s="294">
        <f t="shared" si="26"/>
        <v>0</v>
      </c>
      <c r="AD143" s="305"/>
      <c r="AE143" s="305"/>
      <c r="AF143" s="305"/>
      <c r="AG143" s="305"/>
      <c r="AH143" s="305"/>
      <c r="AI143" s="305"/>
      <c r="AJ143" s="305"/>
      <c r="AK143" s="305"/>
      <c r="AL143" s="305"/>
      <c r="AM143" s="305"/>
      <c r="AN143" s="305"/>
      <c r="AO143" s="305"/>
      <c r="AP143" s="305"/>
      <c r="AQ143" s="305"/>
    </row>
    <row r="144" spans="1:43" ht="15" hidden="1" thickBot="1">
      <c r="A144" s="303"/>
      <c r="B144" s="296" t="s">
        <v>187</v>
      </c>
      <c r="C144" s="296">
        <v>1200</v>
      </c>
      <c r="D144" s="296" t="s">
        <v>508</v>
      </c>
      <c r="E144" s="296" t="s">
        <v>508</v>
      </c>
      <c r="F144" s="296">
        <v>24.9</v>
      </c>
      <c r="G144" s="296">
        <v>56</v>
      </c>
      <c r="H144" s="296">
        <v>55</v>
      </c>
      <c r="I144" s="296" t="s">
        <v>508</v>
      </c>
      <c r="J144" s="296">
        <v>8.79</v>
      </c>
      <c r="K144" s="296">
        <v>0.25</v>
      </c>
      <c r="L144" s="296">
        <v>0.17</v>
      </c>
      <c r="M144" s="296" t="s">
        <v>508</v>
      </c>
      <c r="N144" s="296">
        <v>2</v>
      </c>
      <c r="O144" s="296">
        <v>10</v>
      </c>
      <c r="P144" s="296">
        <v>10</v>
      </c>
      <c r="Q144" s="304"/>
      <c r="R144" s="311">
        <f aca="true" t="shared" si="31" ref="R144:R167">IF(AND(1099.9999&lt;$B$6,$B$6&lt;1300),1,0)</f>
        <v>0</v>
      </c>
      <c r="S144" s="300">
        <f>IF($B$7=$A$105,1,0)</f>
        <v>0</v>
      </c>
      <c r="T144" s="299">
        <v>1</v>
      </c>
      <c r="U144" s="298">
        <f t="shared" si="30"/>
        <v>0</v>
      </c>
      <c r="V144" s="294">
        <f t="shared" si="19"/>
        <v>0</v>
      </c>
      <c r="W144" s="295">
        <f t="shared" si="20"/>
        <v>0</v>
      </c>
      <c r="X144" s="295">
        <f t="shared" si="21"/>
        <v>0</v>
      </c>
      <c r="Y144" s="295">
        <f t="shared" si="22"/>
        <v>0</v>
      </c>
      <c r="Z144" s="295">
        <f t="shared" si="23"/>
        <v>0</v>
      </c>
      <c r="AA144" s="295">
        <f t="shared" si="24"/>
        <v>0</v>
      </c>
      <c r="AB144" s="294">
        <f t="shared" si="25"/>
        <v>0</v>
      </c>
      <c r="AC144" s="294">
        <f t="shared" si="26"/>
        <v>0</v>
      </c>
      <c r="AD144" s="305"/>
      <c r="AE144" s="305"/>
      <c r="AF144" s="305"/>
      <c r="AG144" s="305"/>
      <c r="AH144" s="305"/>
      <c r="AI144" s="305"/>
      <c r="AJ144" s="305"/>
      <c r="AK144" s="305"/>
      <c r="AL144" s="305"/>
      <c r="AM144" s="305"/>
      <c r="AN144" s="305"/>
      <c r="AO144" s="305"/>
      <c r="AP144" s="305"/>
      <c r="AQ144" s="305"/>
    </row>
    <row r="145" spans="1:43" ht="15" hidden="1" thickBot="1">
      <c r="A145" s="303"/>
      <c r="B145" s="296" t="s">
        <v>187</v>
      </c>
      <c r="C145" s="296">
        <v>1200</v>
      </c>
      <c r="D145" s="296" t="s">
        <v>508</v>
      </c>
      <c r="E145" s="296" t="s">
        <v>508</v>
      </c>
      <c r="F145" s="296">
        <v>26</v>
      </c>
      <c r="G145" s="296">
        <v>53.7</v>
      </c>
      <c r="H145" s="296">
        <v>51</v>
      </c>
      <c r="I145" s="296" t="s">
        <v>508</v>
      </c>
      <c r="J145" s="296">
        <v>8.13</v>
      </c>
      <c r="K145" s="296">
        <v>0.23</v>
      </c>
      <c r="L145" s="296">
        <v>0.16</v>
      </c>
      <c r="M145" s="296" t="s">
        <v>508</v>
      </c>
      <c r="N145" s="296">
        <v>3</v>
      </c>
      <c r="O145" s="296">
        <v>10</v>
      </c>
      <c r="P145" s="296">
        <v>9</v>
      </c>
      <c r="Q145" s="304"/>
      <c r="R145" s="311">
        <f t="shared" si="31"/>
        <v>0</v>
      </c>
      <c r="S145" s="300">
        <f>IF($B$7=$A$106,1,0)</f>
        <v>0</v>
      </c>
      <c r="T145" s="299">
        <v>1</v>
      </c>
      <c r="U145" s="298">
        <f t="shared" si="30"/>
        <v>0</v>
      </c>
      <c r="V145" s="294">
        <f t="shared" si="19"/>
        <v>0</v>
      </c>
      <c r="W145" s="295">
        <f t="shared" si="20"/>
        <v>0</v>
      </c>
      <c r="X145" s="295">
        <f t="shared" si="21"/>
        <v>0</v>
      </c>
      <c r="Y145" s="295">
        <f t="shared" si="22"/>
        <v>0</v>
      </c>
      <c r="Z145" s="295">
        <f t="shared" si="23"/>
        <v>0</v>
      </c>
      <c r="AA145" s="295">
        <f t="shared" si="24"/>
        <v>0</v>
      </c>
      <c r="AB145" s="294">
        <f t="shared" si="25"/>
        <v>0</v>
      </c>
      <c r="AC145" s="294">
        <f t="shared" si="26"/>
        <v>0</v>
      </c>
      <c r="AD145" s="305"/>
      <c r="AE145" s="305"/>
      <c r="AF145" s="305"/>
      <c r="AG145" s="305"/>
      <c r="AH145" s="305"/>
      <c r="AI145" s="305"/>
      <c r="AJ145" s="305"/>
      <c r="AK145" s="305"/>
      <c r="AL145" s="305"/>
      <c r="AM145" s="305"/>
      <c r="AN145" s="305"/>
      <c r="AO145" s="305"/>
      <c r="AP145" s="305"/>
      <c r="AQ145" s="305"/>
    </row>
    <row r="146" spans="1:43" ht="15" hidden="1" thickBot="1">
      <c r="A146" s="303"/>
      <c r="B146" s="296" t="s">
        <v>187</v>
      </c>
      <c r="C146" s="296">
        <v>1200</v>
      </c>
      <c r="D146" s="296" t="s">
        <v>508</v>
      </c>
      <c r="E146" s="296" t="s">
        <v>508</v>
      </c>
      <c r="F146" s="296">
        <v>25.6</v>
      </c>
      <c r="G146" s="296">
        <v>52.9</v>
      </c>
      <c r="H146" s="296">
        <v>50</v>
      </c>
      <c r="I146" s="296" t="s">
        <v>508</v>
      </c>
      <c r="J146" s="296">
        <v>7.73</v>
      </c>
      <c r="K146" s="296">
        <v>0.21</v>
      </c>
      <c r="L146" s="296">
        <v>0.15</v>
      </c>
      <c r="M146" s="296">
        <v>1</v>
      </c>
      <c r="N146" s="296">
        <v>4</v>
      </c>
      <c r="O146" s="296">
        <v>10</v>
      </c>
      <c r="P146" s="296">
        <v>7.2</v>
      </c>
      <c r="Q146" s="304"/>
      <c r="R146" s="311">
        <f t="shared" si="31"/>
        <v>0</v>
      </c>
      <c r="S146" s="300">
        <f>IF($B$7=$A$107,1,0)</f>
        <v>0</v>
      </c>
      <c r="T146" s="299">
        <v>1</v>
      </c>
      <c r="U146" s="298">
        <f t="shared" si="30"/>
        <v>0</v>
      </c>
      <c r="V146" s="294">
        <f t="shared" si="19"/>
        <v>0</v>
      </c>
      <c r="W146" s="295">
        <f t="shared" si="20"/>
        <v>0</v>
      </c>
      <c r="X146" s="295">
        <f t="shared" si="21"/>
        <v>0</v>
      </c>
      <c r="Y146" s="295">
        <f t="shared" si="22"/>
        <v>0</v>
      </c>
      <c r="Z146" s="295">
        <f t="shared" si="23"/>
        <v>0</v>
      </c>
      <c r="AA146" s="295">
        <f t="shared" si="24"/>
        <v>0</v>
      </c>
      <c r="AB146" s="294">
        <f t="shared" si="25"/>
        <v>0</v>
      </c>
      <c r="AC146" s="294">
        <f t="shared" si="26"/>
        <v>0</v>
      </c>
      <c r="AD146" s="305"/>
      <c r="AE146" s="305"/>
      <c r="AF146" s="305"/>
      <c r="AG146" s="305"/>
      <c r="AH146" s="305"/>
      <c r="AI146" s="305"/>
      <c r="AJ146" s="305"/>
      <c r="AK146" s="305"/>
      <c r="AL146" s="305"/>
      <c r="AM146" s="305"/>
      <c r="AN146" s="305"/>
      <c r="AO146" s="305"/>
      <c r="AP146" s="305"/>
      <c r="AQ146" s="305"/>
    </row>
    <row r="147" spans="1:43" ht="15" hidden="1" thickBot="1">
      <c r="A147" s="303"/>
      <c r="B147" s="296" t="s">
        <v>187</v>
      </c>
      <c r="C147" s="296">
        <v>1200</v>
      </c>
      <c r="D147" s="296" t="s">
        <v>508</v>
      </c>
      <c r="E147" s="296" t="s">
        <v>508</v>
      </c>
      <c r="F147" s="296">
        <v>25.1</v>
      </c>
      <c r="G147" s="296">
        <v>52.1</v>
      </c>
      <c r="H147" s="296">
        <v>49</v>
      </c>
      <c r="I147" s="296" t="s">
        <v>508</v>
      </c>
      <c r="J147" s="296">
        <v>7.33</v>
      </c>
      <c r="K147" s="296">
        <v>0.2</v>
      </c>
      <c r="L147" s="296">
        <v>0.14</v>
      </c>
      <c r="M147" s="296">
        <v>2</v>
      </c>
      <c r="N147" s="296">
        <v>5</v>
      </c>
      <c r="O147" s="296">
        <v>10</v>
      </c>
      <c r="P147" s="296">
        <v>5.4</v>
      </c>
      <c r="Q147" s="304"/>
      <c r="R147" s="311">
        <f t="shared" si="31"/>
        <v>0</v>
      </c>
      <c r="S147" s="300">
        <f>IF($B$7=$A$108,1,0)</f>
        <v>0</v>
      </c>
      <c r="T147" s="299">
        <v>1</v>
      </c>
      <c r="U147" s="298">
        <f t="shared" si="30"/>
        <v>0</v>
      </c>
      <c r="V147" s="294">
        <f t="shared" si="19"/>
        <v>0</v>
      </c>
      <c r="W147" s="295">
        <f t="shared" si="20"/>
        <v>0</v>
      </c>
      <c r="X147" s="295">
        <f t="shared" si="21"/>
        <v>0</v>
      </c>
      <c r="Y147" s="295">
        <f t="shared" si="22"/>
        <v>0</v>
      </c>
      <c r="Z147" s="295">
        <f t="shared" si="23"/>
        <v>0</v>
      </c>
      <c r="AA147" s="295">
        <f t="shared" si="24"/>
        <v>0</v>
      </c>
      <c r="AB147" s="294">
        <f t="shared" si="25"/>
        <v>0</v>
      </c>
      <c r="AC147" s="294">
        <f t="shared" si="26"/>
        <v>0</v>
      </c>
      <c r="AD147" s="305"/>
      <c r="AE147" s="305"/>
      <c r="AF147" s="305"/>
      <c r="AG147" s="305"/>
      <c r="AH147" s="305"/>
      <c r="AI147" s="305"/>
      <c r="AJ147" s="305"/>
      <c r="AK147" s="305"/>
      <c r="AL147" s="305"/>
      <c r="AM147" s="305"/>
      <c r="AN147" s="305"/>
      <c r="AO147" s="305"/>
      <c r="AP147" s="305"/>
      <c r="AQ147" s="305"/>
    </row>
    <row r="148" spans="1:43" ht="15" hidden="1" thickBot="1">
      <c r="A148" s="303"/>
      <c r="B148" s="301" t="s">
        <v>187</v>
      </c>
      <c r="C148" s="301">
        <v>1200</v>
      </c>
      <c r="D148" s="301" t="s">
        <v>508</v>
      </c>
      <c r="E148" s="301" t="s">
        <v>508</v>
      </c>
      <c r="F148" s="301">
        <v>24.8</v>
      </c>
      <c r="G148" s="301">
        <v>51.5</v>
      </c>
      <c r="H148" s="301">
        <v>48</v>
      </c>
      <c r="I148" s="301" t="s">
        <v>508</v>
      </c>
      <c r="J148" s="301">
        <v>7</v>
      </c>
      <c r="K148" s="301">
        <v>0.19</v>
      </c>
      <c r="L148" s="301">
        <v>0.14</v>
      </c>
      <c r="M148" s="301">
        <v>3</v>
      </c>
      <c r="N148" s="301">
        <v>6</v>
      </c>
      <c r="O148" s="301">
        <v>10</v>
      </c>
      <c r="P148" s="301">
        <v>3.9</v>
      </c>
      <c r="Q148" s="308"/>
      <c r="R148" s="311">
        <f t="shared" si="31"/>
        <v>0</v>
      </c>
      <c r="S148" s="293">
        <f>IF($B$7=$A$109,1,0)</f>
        <v>0</v>
      </c>
      <c r="T148" s="302">
        <v>1</v>
      </c>
      <c r="U148" s="298">
        <f t="shared" si="30"/>
        <v>0</v>
      </c>
      <c r="V148" s="294">
        <f t="shared" si="19"/>
        <v>0</v>
      </c>
      <c r="W148" s="295">
        <f t="shared" si="20"/>
        <v>0</v>
      </c>
      <c r="X148" s="295">
        <f t="shared" si="21"/>
        <v>0</v>
      </c>
      <c r="Y148" s="295">
        <f t="shared" si="22"/>
        <v>0</v>
      </c>
      <c r="Z148" s="295">
        <f t="shared" si="23"/>
        <v>0</v>
      </c>
      <c r="AA148" s="295">
        <f t="shared" si="24"/>
        <v>0</v>
      </c>
      <c r="AB148" s="294">
        <f t="shared" si="25"/>
        <v>0</v>
      </c>
      <c r="AC148" s="294">
        <f t="shared" si="26"/>
        <v>0</v>
      </c>
      <c r="AD148" s="305"/>
      <c r="AE148" s="305"/>
      <c r="AF148" s="305"/>
      <c r="AG148" s="305"/>
      <c r="AH148" s="305"/>
      <c r="AI148" s="305"/>
      <c r="AJ148" s="305"/>
      <c r="AK148" s="305"/>
      <c r="AL148" s="305"/>
      <c r="AM148" s="305"/>
      <c r="AN148" s="305"/>
      <c r="AO148" s="305"/>
      <c r="AP148" s="305"/>
      <c r="AQ148" s="305"/>
    </row>
    <row r="149" spans="1:43" ht="15" hidden="1" thickBot="1">
      <c r="A149" s="303"/>
      <c r="B149" s="296" t="s">
        <v>187</v>
      </c>
      <c r="C149" s="296">
        <v>1200</v>
      </c>
      <c r="D149" s="296" t="s">
        <v>508</v>
      </c>
      <c r="E149" s="296" t="s">
        <v>508</v>
      </c>
      <c r="F149" s="296">
        <v>26.8</v>
      </c>
      <c r="G149" s="296">
        <v>58.7</v>
      </c>
      <c r="H149" s="296">
        <v>59</v>
      </c>
      <c r="I149" s="296" t="s">
        <v>508</v>
      </c>
      <c r="J149" s="296">
        <v>10.1</v>
      </c>
      <c r="K149" s="296">
        <v>0.29</v>
      </c>
      <c r="L149" s="296">
        <v>0.19</v>
      </c>
      <c r="M149" s="296" t="s">
        <v>508</v>
      </c>
      <c r="N149" s="296">
        <v>1</v>
      </c>
      <c r="O149" s="296">
        <v>20</v>
      </c>
      <c r="P149" s="296">
        <v>16.7</v>
      </c>
      <c r="Q149" s="304"/>
      <c r="R149" s="311">
        <f t="shared" si="31"/>
        <v>0</v>
      </c>
      <c r="S149" s="298">
        <f>IF($B$7=$A$104,1,0)</f>
        <v>0</v>
      </c>
      <c r="T149" s="299">
        <v>1</v>
      </c>
      <c r="U149" s="298">
        <f aca="true" t="shared" si="32" ref="U149:U154">IF($P$8=$A$127,1,0)</f>
        <v>0</v>
      </c>
      <c r="V149" s="294">
        <f t="shared" si="19"/>
        <v>0</v>
      </c>
      <c r="W149" s="295">
        <f t="shared" si="20"/>
        <v>0</v>
      </c>
      <c r="X149" s="295">
        <f t="shared" si="21"/>
        <v>0</v>
      </c>
      <c r="Y149" s="295">
        <f t="shared" si="22"/>
        <v>0</v>
      </c>
      <c r="Z149" s="295">
        <f t="shared" si="23"/>
        <v>0</v>
      </c>
      <c r="AA149" s="295">
        <f t="shared" si="24"/>
        <v>0</v>
      </c>
      <c r="AB149" s="294">
        <f t="shared" si="25"/>
        <v>0</v>
      </c>
      <c r="AC149" s="294">
        <f t="shared" si="26"/>
        <v>0</v>
      </c>
      <c r="AD149" s="305"/>
      <c r="AE149" s="305"/>
      <c r="AF149" s="305"/>
      <c r="AG149" s="305"/>
      <c r="AH149" s="305"/>
      <c r="AI149" s="305"/>
      <c r="AJ149" s="305"/>
      <c r="AK149" s="305"/>
      <c r="AL149" s="305"/>
      <c r="AM149" s="305"/>
      <c r="AN149" s="305"/>
      <c r="AO149" s="305"/>
      <c r="AP149" s="305"/>
      <c r="AQ149" s="305"/>
    </row>
    <row r="150" spans="1:43" ht="15" hidden="1" thickBot="1">
      <c r="A150" s="303"/>
      <c r="B150" s="296" t="s">
        <v>187</v>
      </c>
      <c r="C150" s="296">
        <v>1200</v>
      </c>
      <c r="D150" s="296" t="s">
        <v>508</v>
      </c>
      <c r="E150" s="296" t="s">
        <v>508</v>
      </c>
      <c r="F150" s="296">
        <v>27.8</v>
      </c>
      <c r="G150" s="296">
        <v>59.9</v>
      </c>
      <c r="H150" s="296">
        <v>61</v>
      </c>
      <c r="I150" s="296" t="s">
        <v>508</v>
      </c>
      <c r="J150" s="296">
        <v>10.69</v>
      </c>
      <c r="K150" s="296">
        <v>0.31</v>
      </c>
      <c r="L150" s="296">
        <v>0.21</v>
      </c>
      <c r="M150" s="296" t="s">
        <v>508</v>
      </c>
      <c r="N150" s="296">
        <v>2</v>
      </c>
      <c r="O150" s="296">
        <v>20</v>
      </c>
      <c r="P150" s="296">
        <v>20</v>
      </c>
      <c r="Q150" s="304"/>
      <c r="R150" s="311">
        <f t="shared" si="31"/>
        <v>0</v>
      </c>
      <c r="S150" s="300">
        <f>IF($B$7=$A$105,1,0)</f>
        <v>0</v>
      </c>
      <c r="T150" s="299">
        <v>1</v>
      </c>
      <c r="U150" s="298">
        <f t="shared" si="32"/>
        <v>0</v>
      </c>
      <c r="V150" s="294">
        <f t="shared" si="19"/>
        <v>0</v>
      </c>
      <c r="W150" s="295">
        <f t="shared" si="20"/>
        <v>0</v>
      </c>
      <c r="X150" s="295">
        <f t="shared" si="21"/>
        <v>0</v>
      </c>
      <c r="Y150" s="295">
        <f t="shared" si="22"/>
        <v>0</v>
      </c>
      <c r="Z150" s="295">
        <f t="shared" si="23"/>
        <v>0</v>
      </c>
      <c r="AA150" s="295">
        <f t="shared" si="24"/>
        <v>0</v>
      </c>
      <c r="AB150" s="294">
        <f t="shared" si="25"/>
        <v>0</v>
      </c>
      <c r="AC150" s="294">
        <f t="shared" si="26"/>
        <v>0</v>
      </c>
      <c r="AD150" s="305"/>
      <c r="AE150" s="305"/>
      <c r="AF150" s="305"/>
      <c r="AG150" s="305"/>
      <c r="AH150" s="305"/>
      <c r="AI150" s="305"/>
      <c r="AJ150" s="305"/>
      <c r="AK150" s="305"/>
      <c r="AL150" s="305"/>
      <c r="AM150" s="305"/>
      <c r="AN150" s="305"/>
      <c r="AO150" s="305"/>
      <c r="AP150" s="305"/>
      <c r="AQ150" s="305"/>
    </row>
    <row r="151" spans="1:43" ht="15" hidden="1" thickBot="1">
      <c r="A151" s="303"/>
      <c r="B151" s="296" t="s">
        <v>187</v>
      </c>
      <c r="C151" s="296">
        <v>1200</v>
      </c>
      <c r="D151" s="296" t="s">
        <v>508</v>
      </c>
      <c r="E151" s="296" t="s">
        <v>508</v>
      </c>
      <c r="F151" s="296">
        <v>28.4</v>
      </c>
      <c r="G151" s="296">
        <v>57.6</v>
      </c>
      <c r="H151" s="296">
        <v>57</v>
      </c>
      <c r="I151" s="296" t="s">
        <v>508</v>
      </c>
      <c r="J151" s="296">
        <v>9.92</v>
      </c>
      <c r="K151" s="296">
        <v>0.29</v>
      </c>
      <c r="L151" s="296">
        <v>0.19</v>
      </c>
      <c r="M151" s="296" t="s">
        <v>508</v>
      </c>
      <c r="N151" s="296">
        <v>3</v>
      </c>
      <c r="O151" s="296">
        <v>20</v>
      </c>
      <c r="P151" s="296">
        <v>18</v>
      </c>
      <c r="Q151" s="304"/>
      <c r="R151" s="311">
        <f t="shared" si="31"/>
        <v>0</v>
      </c>
      <c r="S151" s="300">
        <f>IF($B$7=$A$106,1,0)</f>
        <v>0</v>
      </c>
      <c r="T151" s="299">
        <v>1</v>
      </c>
      <c r="U151" s="298">
        <f t="shared" si="32"/>
        <v>0</v>
      </c>
      <c r="V151" s="294">
        <f t="shared" si="19"/>
        <v>0</v>
      </c>
      <c r="W151" s="295">
        <f t="shared" si="20"/>
        <v>0</v>
      </c>
      <c r="X151" s="295">
        <f t="shared" si="21"/>
        <v>0</v>
      </c>
      <c r="Y151" s="295">
        <f t="shared" si="22"/>
        <v>0</v>
      </c>
      <c r="Z151" s="295">
        <f t="shared" si="23"/>
        <v>0</v>
      </c>
      <c r="AA151" s="295">
        <f t="shared" si="24"/>
        <v>0</v>
      </c>
      <c r="AB151" s="294">
        <f t="shared" si="25"/>
        <v>0</v>
      </c>
      <c r="AC151" s="294">
        <f t="shared" si="26"/>
        <v>0</v>
      </c>
      <c r="AD151" s="305"/>
      <c r="AE151" s="305"/>
      <c r="AF151" s="305"/>
      <c r="AG151" s="305"/>
      <c r="AH151" s="305"/>
      <c r="AI151" s="305"/>
      <c r="AJ151" s="305"/>
      <c r="AK151" s="305"/>
      <c r="AL151" s="305"/>
      <c r="AM151" s="305"/>
      <c r="AN151" s="305"/>
      <c r="AO151" s="305"/>
      <c r="AP151" s="305"/>
      <c r="AQ151" s="305"/>
    </row>
    <row r="152" spans="1:43" ht="15" hidden="1" thickBot="1">
      <c r="A152" s="303"/>
      <c r="B152" s="296" t="s">
        <v>187</v>
      </c>
      <c r="C152" s="296">
        <v>1200</v>
      </c>
      <c r="D152" s="296" t="s">
        <v>508</v>
      </c>
      <c r="E152" s="296" t="s">
        <v>508</v>
      </c>
      <c r="F152" s="296">
        <v>27.4</v>
      </c>
      <c r="G152" s="296">
        <v>56.2</v>
      </c>
      <c r="H152" s="296">
        <v>55</v>
      </c>
      <c r="I152" s="296" t="s">
        <v>508</v>
      </c>
      <c r="J152" s="296">
        <v>9.25</v>
      </c>
      <c r="K152" s="296">
        <v>0.26</v>
      </c>
      <c r="L152" s="296">
        <v>0.18</v>
      </c>
      <c r="M152" s="296">
        <v>1</v>
      </c>
      <c r="N152" s="296">
        <v>4</v>
      </c>
      <c r="O152" s="296">
        <v>20</v>
      </c>
      <c r="P152" s="296">
        <v>14.4</v>
      </c>
      <c r="Q152" s="304"/>
      <c r="R152" s="311">
        <f t="shared" si="31"/>
        <v>0</v>
      </c>
      <c r="S152" s="300">
        <f>IF($B$7=$A$107,1,0)</f>
        <v>0</v>
      </c>
      <c r="T152" s="299">
        <v>1</v>
      </c>
      <c r="U152" s="298">
        <f t="shared" si="32"/>
        <v>0</v>
      </c>
      <c r="V152" s="294">
        <f t="shared" si="19"/>
        <v>0</v>
      </c>
      <c r="W152" s="295">
        <f t="shared" si="20"/>
        <v>0</v>
      </c>
      <c r="X152" s="295">
        <f t="shared" si="21"/>
        <v>0</v>
      </c>
      <c r="Y152" s="295">
        <f t="shared" si="22"/>
        <v>0</v>
      </c>
      <c r="Z152" s="295">
        <f t="shared" si="23"/>
        <v>0</v>
      </c>
      <c r="AA152" s="295">
        <f t="shared" si="24"/>
        <v>0</v>
      </c>
      <c r="AB152" s="294">
        <f t="shared" si="25"/>
        <v>0</v>
      </c>
      <c r="AC152" s="294">
        <f t="shared" si="26"/>
        <v>0</v>
      </c>
      <c r="AD152" s="305"/>
      <c r="AE152" s="305"/>
      <c r="AF152" s="305"/>
      <c r="AG152" s="305"/>
      <c r="AH152" s="305"/>
      <c r="AI152" s="305"/>
      <c r="AJ152" s="305"/>
      <c r="AK152" s="305"/>
      <c r="AL152" s="305"/>
      <c r="AM152" s="305"/>
      <c r="AN152" s="305"/>
      <c r="AO152" s="305"/>
      <c r="AP152" s="305"/>
      <c r="AQ152" s="305"/>
    </row>
    <row r="153" spans="1:43" ht="15" hidden="1" thickBot="1">
      <c r="A153" s="303"/>
      <c r="B153" s="296" t="s">
        <v>187</v>
      </c>
      <c r="C153" s="296">
        <v>1200</v>
      </c>
      <c r="D153" s="296" t="s">
        <v>508</v>
      </c>
      <c r="E153" s="296" t="s">
        <v>508</v>
      </c>
      <c r="F153" s="296">
        <v>26.5</v>
      </c>
      <c r="G153" s="296">
        <v>54.7</v>
      </c>
      <c r="H153" s="296">
        <v>53</v>
      </c>
      <c r="I153" s="296" t="s">
        <v>508</v>
      </c>
      <c r="J153" s="296">
        <v>8.54</v>
      </c>
      <c r="K153" s="296">
        <v>0.24</v>
      </c>
      <c r="L153" s="296">
        <v>0.17</v>
      </c>
      <c r="M153" s="296">
        <v>2</v>
      </c>
      <c r="N153" s="296">
        <v>5</v>
      </c>
      <c r="O153" s="296">
        <v>20</v>
      </c>
      <c r="P153" s="296">
        <v>10.8</v>
      </c>
      <c r="Q153" s="304"/>
      <c r="R153" s="311">
        <f t="shared" si="31"/>
        <v>0</v>
      </c>
      <c r="S153" s="300">
        <f>IF($B$7=$A$108,1,0)</f>
        <v>0</v>
      </c>
      <c r="T153" s="299">
        <v>1</v>
      </c>
      <c r="U153" s="298">
        <f t="shared" si="32"/>
        <v>0</v>
      </c>
      <c r="V153" s="294">
        <f t="shared" si="19"/>
        <v>0</v>
      </c>
      <c r="W153" s="295">
        <f t="shared" si="20"/>
        <v>0</v>
      </c>
      <c r="X153" s="295">
        <f t="shared" si="21"/>
        <v>0</v>
      </c>
      <c r="Y153" s="295">
        <f t="shared" si="22"/>
        <v>0</v>
      </c>
      <c r="Z153" s="295">
        <f t="shared" si="23"/>
        <v>0</v>
      </c>
      <c r="AA153" s="295">
        <f t="shared" si="24"/>
        <v>0</v>
      </c>
      <c r="AB153" s="294">
        <f t="shared" si="25"/>
        <v>0</v>
      </c>
      <c r="AC153" s="294">
        <f t="shared" si="26"/>
        <v>0</v>
      </c>
      <c r="AD153" s="305"/>
      <c r="AE153" s="305"/>
      <c r="AF153" s="305"/>
      <c r="AG153" s="305"/>
      <c r="AH153" s="305"/>
      <c r="AI153" s="305"/>
      <c r="AJ153" s="305"/>
      <c r="AK153" s="305"/>
      <c r="AL153" s="305"/>
      <c r="AM153" s="305"/>
      <c r="AN153" s="305"/>
      <c r="AO153" s="305"/>
      <c r="AP153" s="305"/>
      <c r="AQ153" s="305"/>
    </row>
    <row r="154" spans="1:43" ht="15" hidden="1" thickBot="1">
      <c r="A154" s="303"/>
      <c r="B154" s="301" t="s">
        <v>187</v>
      </c>
      <c r="C154" s="301">
        <v>1200</v>
      </c>
      <c r="D154" s="301" t="s">
        <v>508</v>
      </c>
      <c r="E154" s="301" t="s">
        <v>508</v>
      </c>
      <c r="F154" s="301">
        <v>25.7</v>
      </c>
      <c r="G154" s="301">
        <v>53.4</v>
      </c>
      <c r="H154" s="301">
        <v>51</v>
      </c>
      <c r="I154" s="301" t="s">
        <v>508</v>
      </c>
      <c r="J154" s="301">
        <v>7.92</v>
      </c>
      <c r="K154" s="301">
        <v>0.22</v>
      </c>
      <c r="L154" s="301">
        <v>0.15</v>
      </c>
      <c r="M154" s="301">
        <v>3</v>
      </c>
      <c r="N154" s="301">
        <v>6</v>
      </c>
      <c r="O154" s="301">
        <v>20</v>
      </c>
      <c r="P154" s="301">
        <v>7.8</v>
      </c>
      <c r="Q154" s="308"/>
      <c r="R154" s="311">
        <f t="shared" si="31"/>
        <v>0</v>
      </c>
      <c r="S154" s="293">
        <f>IF($B$7=$A$109,1,0)</f>
        <v>0</v>
      </c>
      <c r="T154" s="302">
        <v>1</v>
      </c>
      <c r="U154" s="298">
        <f t="shared" si="32"/>
        <v>0</v>
      </c>
      <c r="V154" s="294">
        <f t="shared" si="19"/>
        <v>0</v>
      </c>
      <c r="W154" s="295">
        <f t="shared" si="20"/>
        <v>0</v>
      </c>
      <c r="X154" s="295">
        <f t="shared" si="21"/>
        <v>0</v>
      </c>
      <c r="Y154" s="295">
        <f t="shared" si="22"/>
        <v>0</v>
      </c>
      <c r="Z154" s="295">
        <f t="shared" si="23"/>
        <v>0</v>
      </c>
      <c r="AA154" s="295">
        <f t="shared" si="24"/>
        <v>0</v>
      </c>
      <c r="AB154" s="294">
        <f t="shared" si="25"/>
        <v>0</v>
      </c>
      <c r="AC154" s="294">
        <f t="shared" si="26"/>
        <v>0</v>
      </c>
      <c r="AD154" s="305"/>
      <c r="AE154" s="305"/>
      <c r="AF154" s="305"/>
      <c r="AG154" s="305"/>
      <c r="AH154" s="305"/>
      <c r="AI154" s="305"/>
      <c r="AJ154" s="305"/>
      <c r="AK154" s="305"/>
      <c r="AL154" s="305"/>
      <c r="AM154" s="305"/>
      <c r="AN154" s="305"/>
      <c r="AO154" s="305"/>
      <c r="AP154" s="305"/>
      <c r="AQ154" s="305"/>
    </row>
    <row r="155" spans="1:43" ht="14.25" hidden="1">
      <c r="A155" s="303"/>
      <c r="B155" s="296" t="s">
        <v>187</v>
      </c>
      <c r="C155" s="296">
        <v>1200</v>
      </c>
      <c r="D155" s="296" t="s">
        <v>508</v>
      </c>
      <c r="E155" s="296" t="s">
        <v>508</v>
      </c>
      <c r="F155" s="296">
        <v>29.2</v>
      </c>
      <c r="G155" s="296">
        <v>61.6</v>
      </c>
      <c r="H155" s="296">
        <v>64</v>
      </c>
      <c r="I155" s="296" t="s">
        <v>508</v>
      </c>
      <c r="J155" s="296">
        <v>11.51</v>
      </c>
      <c r="K155" s="296">
        <v>0.34</v>
      </c>
      <c r="L155" s="296">
        <v>0.22</v>
      </c>
      <c r="M155" s="296" t="s">
        <v>508</v>
      </c>
      <c r="N155" s="296">
        <v>1</v>
      </c>
      <c r="O155" s="296">
        <v>30</v>
      </c>
      <c r="P155" s="296">
        <v>25</v>
      </c>
      <c r="Q155" s="304"/>
      <c r="R155" s="311">
        <f t="shared" si="31"/>
        <v>0</v>
      </c>
      <c r="S155" s="298">
        <f>IF($B$7=$A$104,1,0)</f>
        <v>0</v>
      </c>
      <c r="T155" s="299">
        <v>1</v>
      </c>
      <c r="U155" s="297">
        <f aca="true" t="shared" si="33" ref="U155:U160">IF($P$8=$A$128,1,0)</f>
        <v>0</v>
      </c>
      <c r="V155" s="294">
        <f t="shared" si="19"/>
        <v>0</v>
      </c>
      <c r="W155" s="295">
        <f t="shared" si="20"/>
        <v>0</v>
      </c>
      <c r="X155" s="295">
        <f t="shared" si="21"/>
        <v>0</v>
      </c>
      <c r="Y155" s="295">
        <f t="shared" si="22"/>
        <v>0</v>
      </c>
      <c r="Z155" s="295">
        <f t="shared" si="23"/>
        <v>0</v>
      </c>
      <c r="AA155" s="295">
        <f t="shared" si="24"/>
        <v>0</v>
      </c>
      <c r="AB155" s="294">
        <f t="shared" si="25"/>
        <v>0</v>
      </c>
      <c r="AC155" s="294">
        <f t="shared" si="26"/>
        <v>0</v>
      </c>
      <c r="AD155" s="305"/>
      <c r="AE155" s="305"/>
      <c r="AF155" s="305"/>
      <c r="AG155" s="305"/>
      <c r="AH155" s="305"/>
      <c r="AI155" s="305"/>
      <c r="AJ155" s="305"/>
      <c r="AK155" s="305"/>
      <c r="AL155" s="305"/>
      <c r="AM155" s="305"/>
      <c r="AN155" s="305"/>
      <c r="AO155" s="305"/>
      <c r="AP155" s="305"/>
      <c r="AQ155" s="305"/>
    </row>
    <row r="156" spans="1:43" ht="14.25" hidden="1">
      <c r="A156" s="303"/>
      <c r="B156" s="296" t="s">
        <v>187</v>
      </c>
      <c r="C156" s="296">
        <v>1200</v>
      </c>
      <c r="D156" s="296" t="s">
        <v>508</v>
      </c>
      <c r="E156" s="296" t="s">
        <v>508</v>
      </c>
      <c r="F156" s="296">
        <v>30.6</v>
      </c>
      <c r="G156" s="296">
        <v>63.2</v>
      </c>
      <c r="H156" s="296">
        <v>66</v>
      </c>
      <c r="I156" s="296" t="s">
        <v>508</v>
      </c>
      <c r="J156" s="296">
        <v>12.25</v>
      </c>
      <c r="K156" s="296">
        <v>0.36</v>
      </c>
      <c r="L156" s="296">
        <v>0.23</v>
      </c>
      <c r="M156" s="296" t="s">
        <v>508</v>
      </c>
      <c r="N156" s="296">
        <v>2</v>
      </c>
      <c r="O156" s="296">
        <v>30</v>
      </c>
      <c r="P156" s="296">
        <v>30</v>
      </c>
      <c r="Q156" s="304"/>
      <c r="R156" s="311">
        <f t="shared" si="31"/>
        <v>0</v>
      </c>
      <c r="S156" s="300">
        <f>IF($B$7=$A$105,1,0)</f>
        <v>0</v>
      </c>
      <c r="T156" s="299">
        <v>1</v>
      </c>
      <c r="U156" s="297">
        <f t="shared" si="33"/>
        <v>0</v>
      </c>
      <c r="V156" s="294">
        <f t="shared" si="19"/>
        <v>0</v>
      </c>
      <c r="W156" s="295">
        <f t="shared" si="20"/>
        <v>0</v>
      </c>
      <c r="X156" s="295">
        <f t="shared" si="21"/>
        <v>0</v>
      </c>
      <c r="Y156" s="295">
        <f t="shared" si="22"/>
        <v>0</v>
      </c>
      <c r="Z156" s="295">
        <f t="shared" si="23"/>
        <v>0</v>
      </c>
      <c r="AA156" s="295">
        <f t="shared" si="24"/>
        <v>0</v>
      </c>
      <c r="AB156" s="294">
        <f t="shared" si="25"/>
        <v>0</v>
      </c>
      <c r="AC156" s="294">
        <f t="shared" si="26"/>
        <v>0</v>
      </c>
      <c r="AD156" s="305"/>
      <c r="AE156" s="305"/>
      <c r="AF156" s="305"/>
      <c r="AG156" s="305"/>
      <c r="AH156" s="305"/>
      <c r="AI156" s="305"/>
      <c r="AJ156" s="305"/>
      <c r="AK156" s="305"/>
      <c r="AL156" s="305"/>
      <c r="AM156" s="305"/>
      <c r="AN156" s="305"/>
      <c r="AO156" s="305"/>
      <c r="AP156" s="305"/>
      <c r="AQ156" s="305"/>
    </row>
    <row r="157" spans="1:43" ht="14.25" hidden="1">
      <c r="A157" s="303"/>
      <c r="B157" s="296" t="s">
        <v>187</v>
      </c>
      <c r="C157" s="296">
        <v>1200</v>
      </c>
      <c r="D157" s="296" t="s">
        <v>508</v>
      </c>
      <c r="E157" s="296" t="s">
        <v>508</v>
      </c>
      <c r="F157" s="296">
        <v>30.8</v>
      </c>
      <c r="G157" s="296">
        <v>60.8</v>
      </c>
      <c r="H157" s="296">
        <v>62</v>
      </c>
      <c r="I157" s="296" t="s">
        <v>508</v>
      </c>
      <c r="J157" s="296">
        <v>11.41</v>
      </c>
      <c r="K157" s="296">
        <v>0.34</v>
      </c>
      <c r="L157" s="296">
        <v>0.22</v>
      </c>
      <c r="M157" s="296" t="s">
        <v>508</v>
      </c>
      <c r="N157" s="296">
        <v>3</v>
      </c>
      <c r="O157" s="296">
        <v>30</v>
      </c>
      <c r="P157" s="296">
        <v>27</v>
      </c>
      <c r="Q157" s="304"/>
      <c r="R157" s="311">
        <f t="shared" si="31"/>
        <v>0</v>
      </c>
      <c r="S157" s="300">
        <f>IF($B$7=$A$106,1,0)</f>
        <v>0</v>
      </c>
      <c r="T157" s="299">
        <v>1</v>
      </c>
      <c r="U157" s="297">
        <f t="shared" si="33"/>
        <v>0</v>
      </c>
      <c r="V157" s="294">
        <f t="shared" si="19"/>
        <v>0</v>
      </c>
      <c r="W157" s="295">
        <f t="shared" si="20"/>
        <v>0</v>
      </c>
      <c r="X157" s="295">
        <f t="shared" si="21"/>
        <v>0</v>
      </c>
      <c r="Y157" s="295">
        <f t="shared" si="22"/>
        <v>0</v>
      </c>
      <c r="Z157" s="295">
        <f t="shared" si="23"/>
        <v>0</v>
      </c>
      <c r="AA157" s="295">
        <f t="shared" si="24"/>
        <v>0</v>
      </c>
      <c r="AB157" s="294">
        <f t="shared" si="25"/>
        <v>0</v>
      </c>
      <c r="AC157" s="294">
        <f t="shared" si="26"/>
        <v>0</v>
      </c>
      <c r="AD157" s="305"/>
      <c r="AE157" s="305"/>
      <c r="AF157" s="305"/>
      <c r="AG157" s="305"/>
      <c r="AH157" s="305"/>
      <c r="AI157" s="305"/>
      <c r="AJ157" s="305"/>
      <c r="AK157" s="305"/>
      <c r="AL157" s="305"/>
      <c r="AM157" s="305"/>
      <c r="AN157" s="305"/>
      <c r="AO157" s="305"/>
      <c r="AP157" s="305"/>
      <c r="AQ157" s="305"/>
    </row>
    <row r="158" spans="1:43" ht="14.25" hidden="1">
      <c r="A158" s="303"/>
      <c r="B158" s="296" t="s">
        <v>187</v>
      </c>
      <c r="C158" s="296">
        <v>1200</v>
      </c>
      <c r="D158" s="296" t="s">
        <v>508</v>
      </c>
      <c r="E158" s="296" t="s">
        <v>508</v>
      </c>
      <c r="F158" s="296">
        <v>29.4</v>
      </c>
      <c r="G158" s="296">
        <v>59</v>
      </c>
      <c r="H158" s="296">
        <v>59</v>
      </c>
      <c r="I158" s="296" t="s">
        <v>508</v>
      </c>
      <c r="J158" s="296">
        <v>10.55</v>
      </c>
      <c r="K158" s="296">
        <v>0.31</v>
      </c>
      <c r="L158" s="296">
        <v>0.2</v>
      </c>
      <c r="M158" s="296">
        <v>1</v>
      </c>
      <c r="N158" s="296">
        <v>4</v>
      </c>
      <c r="O158" s="296">
        <v>30</v>
      </c>
      <c r="P158" s="296">
        <v>21.6</v>
      </c>
      <c r="Q158" s="304"/>
      <c r="R158" s="311">
        <f t="shared" si="31"/>
        <v>0</v>
      </c>
      <c r="S158" s="300">
        <f>IF($B$7=$A$107,1,0)</f>
        <v>0</v>
      </c>
      <c r="T158" s="299">
        <v>1</v>
      </c>
      <c r="U158" s="297">
        <f t="shared" si="33"/>
        <v>0</v>
      </c>
      <c r="V158" s="294">
        <f t="shared" si="19"/>
        <v>0</v>
      </c>
      <c r="W158" s="295">
        <f t="shared" si="20"/>
        <v>0</v>
      </c>
      <c r="X158" s="295">
        <f t="shared" si="21"/>
        <v>0</v>
      </c>
      <c r="Y158" s="295">
        <f t="shared" si="22"/>
        <v>0</v>
      </c>
      <c r="Z158" s="295">
        <f t="shared" si="23"/>
        <v>0</v>
      </c>
      <c r="AA158" s="295">
        <f t="shared" si="24"/>
        <v>0</v>
      </c>
      <c r="AB158" s="294">
        <f t="shared" si="25"/>
        <v>0</v>
      </c>
      <c r="AC158" s="294">
        <f t="shared" si="26"/>
        <v>0</v>
      </c>
      <c r="AD158" s="305"/>
      <c r="AE158" s="305"/>
      <c r="AF158" s="305"/>
      <c r="AG158" s="305"/>
      <c r="AH158" s="305"/>
      <c r="AI158" s="305"/>
      <c r="AJ158" s="305"/>
      <c r="AK158" s="305"/>
      <c r="AL158" s="305"/>
      <c r="AM158" s="305"/>
      <c r="AN158" s="305"/>
      <c r="AO158" s="305"/>
      <c r="AP158" s="305"/>
      <c r="AQ158" s="305"/>
    </row>
    <row r="159" spans="1:43" ht="14.25" hidden="1">
      <c r="A159" s="303"/>
      <c r="B159" s="296" t="s">
        <v>187</v>
      </c>
      <c r="C159" s="296">
        <v>1200</v>
      </c>
      <c r="D159" s="296" t="s">
        <v>508</v>
      </c>
      <c r="E159" s="296" t="s">
        <v>508</v>
      </c>
      <c r="F159" s="296">
        <v>27.9</v>
      </c>
      <c r="G159" s="296">
        <v>57</v>
      </c>
      <c r="H159" s="296">
        <v>56</v>
      </c>
      <c r="I159" s="296" t="s">
        <v>508</v>
      </c>
      <c r="J159" s="296">
        <v>9.61</v>
      </c>
      <c r="K159" s="296">
        <v>0.27</v>
      </c>
      <c r="L159" s="296">
        <v>0.18</v>
      </c>
      <c r="M159" s="296">
        <v>2</v>
      </c>
      <c r="N159" s="296">
        <v>5</v>
      </c>
      <c r="O159" s="296">
        <v>30</v>
      </c>
      <c r="P159" s="296">
        <v>16.2</v>
      </c>
      <c r="Q159" s="304"/>
      <c r="R159" s="311">
        <f t="shared" si="31"/>
        <v>0</v>
      </c>
      <c r="S159" s="300">
        <f>IF($B$7=$A$108,1,0)</f>
        <v>0</v>
      </c>
      <c r="T159" s="299">
        <v>1</v>
      </c>
      <c r="U159" s="297">
        <f t="shared" si="33"/>
        <v>0</v>
      </c>
      <c r="V159" s="294">
        <f t="shared" si="19"/>
        <v>0</v>
      </c>
      <c r="W159" s="295">
        <f t="shared" si="20"/>
        <v>0</v>
      </c>
      <c r="X159" s="295">
        <f t="shared" si="21"/>
        <v>0</v>
      </c>
      <c r="Y159" s="295">
        <f t="shared" si="22"/>
        <v>0</v>
      </c>
      <c r="Z159" s="295">
        <f t="shared" si="23"/>
        <v>0</v>
      </c>
      <c r="AA159" s="295">
        <f t="shared" si="24"/>
        <v>0</v>
      </c>
      <c r="AB159" s="294">
        <f t="shared" si="25"/>
        <v>0</v>
      </c>
      <c r="AC159" s="294">
        <f t="shared" si="26"/>
        <v>0</v>
      </c>
      <c r="AD159" s="305"/>
      <c r="AE159" s="305"/>
      <c r="AF159" s="305"/>
      <c r="AG159" s="305"/>
      <c r="AH159" s="305"/>
      <c r="AI159" s="305"/>
      <c r="AJ159" s="305"/>
      <c r="AK159" s="305"/>
      <c r="AL159" s="305"/>
      <c r="AM159" s="305"/>
      <c r="AN159" s="305"/>
      <c r="AO159" s="305"/>
      <c r="AP159" s="305"/>
      <c r="AQ159" s="305"/>
    </row>
    <row r="160" spans="1:43" ht="15" hidden="1" thickBot="1">
      <c r="A160" s="303"/>
      <c r="B160" s="301" t="s">
        <v>187</v>
      </c>
      <c r="C160" s="301">
        <v>1200</v>
      </c>
      <c r="D160" s="301" t="s">
        <v>508</v>
      </c>
      <c r="E160" s="301" t="s">
        <v>508</v>
      </c>
      <c r="F160" s="301">
        <v>26.7</v>
      </c>
      <c r="G160" s="301">
        <v>55.2</v>
      </c>
      <c r="H160" s="301">
        <v>54</v>
      </c>
      <c r="I160" s="301" t="s">
        <v>508</v>
      </c>
      <c r="J160" s="301">
        <v>8.75</v>
      </c>
      <c r="K160" s="301">
        <v>0.25</v>
      </c>
      <c r="L160" s="301">
        <v>0.17</v>
      </c>
      <c r="M160" s="301">
        <v>3</v>
      </c>
      <c r="N160" s="301">
        <v>6</v>
      </c>
      <c r="O160" s="301">
        <v>30</v>
      </c>
      <c r="P160" s="301">
        <v>11.7</v>
      </c>
      <c r="Q160" s="308"/>
      <c r="R160" s="311">
        <f t="shared" si="31"/>
        <v>0</v>
      </c>
      <c r="S160" s="293">
        <f>IF($B$7=$A$109,1,0)</f>
        <v>0</v>
      </c>
      <c r="T160" s="302">
        <v>1</v>
      </c>
      <c r="U160" s="297">
        <f t="shared" si="33"/>
        <v>0</v>
      </c>
      <c r="V160" s="294">
        <f t="shared" si="19"/>
        <v>0</v>
      </c>
      <c r="W160" s="295">
        <f t="shared" si="20"/>
        <v>0</v>
      </c>
      <c r="X160" s="295">
        <f t="shared" si="21"/>
        <v>0</v>
      </c>
      <c r="Y160" s="295">
        <f t="shared" si="22"/>
        <v>0</v>
      </c>
      <c r="Z160" s="295">
        <f t="shared" si="23"/>
        <v>0</v>
      </c>
      <c r="AA160" s="295">
        <f t="shared" si="24"/>
        <v>0</v>
      </c>
      <c r="AB160" s="294">
        <f t="shared" si="25"/>
        <v>0</v>
      </c>
      <c r="AC160" s="294">
        <f t="shared" si="26"/>
        <v>0</v>
      </c>
      <c r="AD160" s="305"/>
      <c r="AE160" s="305"/>
      <c r="AF160" s="305"/>
      <c r="AG160" s="305"/>
      <c r="AH160" s="305"/>
      <c r="AI160" s="305"/>
      <c r="AJ160" s="305"/>
      <c r="AK160" s="305"/>
      <c r="AL160" s="305"/>
      <c r="AM160" s="305"/>
      <c r="AN160" s="305"/>
      <c r="AO160" s="305"/>
      <c r="AP160" s="305"/>
      <c r="AQ160" s="305"/>
    </row>
    <row r="161" spans="1:43" ht="14.25" hidden="1">
      <c r="A161" s="303"/>
      <c r="B161" s="296" t="s">
        <v>187</v>
      </c>
      <c r="C161" s="296">
        <v>1200</v>
      </c>
      <c r="D161" s="296" t="s">
        <v>508</v>
      </c>
      <c r="E161" s="296" t="s">
        <v>508</v>
      </c>
      <c r="F161" s="296">
        <v>24.2</v>
      </c>
      <c r="G161" s="296">
        <v>44.9</v>
      </c>
      <c r="H161" s="296">
        <v>37</v>
      </c>
      <c r="I161" s="296" t="s">
        <v>508</v>
      </c>
      <c r="J161" s="296">
        <v>5.99</v>
      </c>
      <c r="K161" s="296">
        <v>0.15</v>
      </c>
      <c r="L161" s="296">
        <v>0.12</v>
      </c>
      <c r="M161" s="296" t="s">
        <v>255</v>
      </c>
      <c r="N161" s="296">
        <v>7</v>
      </c>
      <c r="O161" s="296" t="s">
        <v>508</v>
      </c>
      <c r="P161" s="296">
        <v>0</v>
      </c>
      <c r="Q161" s="304"/>
      <c r="R161" s="311">
        <f t="shared" si="31"/>
        <v>0</v>
      </c>
      <c r="S161" s="311">
        <f aca="true" t="shared" si="34" ref="S161:S167">IF($B$7=$A$110,1,0)</f>
        <v>1</v>
      </c>
      <c r="T161" s="300">
        <f>C198</f>
        <v>0</v>
      </c>
      <c r="U161" s="299">
        <v>1</v>
      </c>
      <c r="V161" s="294">
        <f>R161*S161*T161*U161</f>
        <v>0</v>
      </c>
      <c r="W161" s="295">
        <f>IF(V161=1,G161,0)</f>
        <v>0</v>
      </c>
      <c r="X161" s="295">
        <f>IF(V161=1,H161,0)</f>
        <v>0</v>
      </c>
      <c r="Y161" s="295">
        <f>IF(V161=1,J161,0)</f>
        <v>0</v>
      </c>
      <c r="Z161" s="295">
        <f>IF(V161=1,K161,0)</f>
        <v>0</v>
      </c>
      <c r="AA161" s="295">
        <f>IF(V161=1,L161,0)</f>
        <v>0</v>
      </c>
      <c r="AB161" s="294">
        <f t="shared" si="25"/>
        <v>0</v>
      </c>
      <c r="AC161" s="294">
        <f t="shared" si="26"/>
        <v>0</v>
      </c>
      <c r="AD161" s="305"/>
      <c r="AE161" s="305"/>
      <c r="AF161" s="305"/>
      <c r="AG161" s="305"/>
      <c r="AH161" s="305"/>
      <c r="AI161" s="305"/>
      <c r="AJ161" s="305"/>
      <c r="AK161" s="305"/>
      <c r="AL161" s="305"/>
      <c r="AM161" s="305"/>
      <c r="AN161" s="305"/>
      <c r="AO161" s="305"/>
      <c r="AP161" s="305"/>
      <c r="AQ161" s="305"/>
    </row>
    <row r="162" spans="1:43" ht="14.25" hidden="1">
      <c r="A162" s="303"/>
      <c r="B162" s="296" t="s">
        <v>187</v>
      </c>
      <c r="C162" s="296">
        <v>1200</v>
      </c>
      <c r="D162" s="296" t="s">
        <v>508</v>
      </c>
      <c r="E162" s="296" t="s">
        <v>508</v>
      </c>
      <c r="F162" s="296">
        <v>24.2</v>
      </c>
      <c r="G162" s="296">
        <v>44.9</v>
      </c>
      <c r="H162" s="296">
        <v>37</v>
      </c>
      <c r="I162" s="296" t="s">
        <v>508</v>
      </c>
      <c r="J162" s="296">
        <v>5.99</v>
      </c>
      <c r="K162" s="296">
        <v>0.15</v>
      </c>
      <c r="L162" s="296">
        <v>0.12</v>
      </c>
      <c r="M162" s="296">
        <v>4</v>
      </c>
      <c r="N162" s="296">
        <v>7</v>
      </c>
      <c r="O162" s="296" t="s">
        <v>508</v>
      </c>
      <c r="P162" s="296">
        <v>0</v>
      </c>
      <c r="Q162" s="304"/>
      <c r="R162" s="311">
        <f t="shared" si="31"/>
        <v>0</v>
      </c>
      <c r="S162" s="311">
        <f t="shared" si="34"/>
        <v>1</v>
      </c>
      <c r="T162" s="300">
        <f>IF($B$8=$A$88,1,0)</f>
        <v>0</v>
      </c>
      <c r="U162" s="299">
        <v>1</v>
      </c>
      <c r="V162" s="294">
        <f t="shared" si="19"/>
        <v>0</v>
      </c>
      <c r="W162" s="295">
        <f t="shared" si="20"/>
        <v>0</v>
      </c>
      <c r="X162" s="295">
        <f t="shared" si="21"/>
        <v>0</v>
      </c>
      <c r="Y162" s="295">
        <f t="shared" si="22"/>
        <v>0</v>
      </c>
      <c r="Z162" s="295">
        <f t="shared" si="23"/>
        <v>0</v>
      </c>
      <c r="AA162" s="295">
        <f t="shared" si="24"/>
        <v>0</v>
      </c>
      <c r="AB162" s="294">
        <f t="shared" si="25"/>
        <v>0</v>
      </c>
      <c r="AC162" s="294">
        <f t="shared" si="26"/>
        <v>0</v>
      </c>
      <c r="AD162" s="305"/>
      <c r="AE162" s="305"/>
      <c r="AF162" s="305"/>
      <c r="AG162" s="305"/>
      <c r="AH162" s="305"/>
      <c r="AI162" s="305"/>
      <c r="AJ162" s="305"/>
      <c r="AK162" s="305"/>
      <c r="AL162" s="305"/>
      <c r="AM162" s="305"/>
      <c r="AN162" s="305"/>
      <c r="AO162" s="305"/>
      <c r="AP162" s="305"/>
      <c r="AQ162" s="305"/>
    </row>
    <row r="163" spans="1:43" ht="14.25" hidden="1">
      <c r="A163" s="303"/>
      <c r="B163" s="296" t="s">
        <v>187</v>
      </c>
      <c r="C163" s="296">
        <v>1200</v>
      </c>
      <c r="D163" s="296" t="s">
        <v>508</v>
      </c>
      <c r="E163" s="296" t="s">
        <v>508</v>
      </c>
      <c r="F163" s="296">
        <v>24.1</v>
      </c>
      <c r="G163" s="296">
        <v>45.8</v>
      </c>
      <c r="H163" s="296">
        <v>38</v>
      </c>
      <c r="I163" s="296" t="s">
        <v>508</v>
      </c>
      <c r="J163" s="296">
        <v>6.18</v>
      </c>
      <c r="K163" s="296">
        <v>0.15</v>
      </c>
      <c r="L163" s="296">
        <v>0.12</v>
      </c>
      <c r="M163" s="296">
        <v>5</v>
      </c>
      <c r="N163" s="296">
        <v>8</v>
      </c>
      <c r="O163" s="296" t="s">
        <v>508</v>
      </c>
      <c r="P163" s="296">
        <v>0</v>
      </c>
      <c r="Q163" s="304"/>
      <c r="R163" s="311">
        <f t="shared" si="31"/>
        <v>0</v>
      </c>
      <c r="S163" s="311">
        <f t="shared" si="34"/>
        <v>1</v>
      </c>
      <c r="T163" s="300">
        <f>IF($B$8=$A$89,1,0)</f>
        <v>0</v>
      </c>
      <c r="U163" s="299">
        <v>1</v>
      </c>
      <c r="V163" s="294">
        <f t="shared" si="19"/>
        <v>0</v>
      </c>
      <c r="W163" s="295">
        <f t="shared" si="20"/>
        <v>0</v>
      </c>
      <c r="X163" s="295">
        <f t="shared" si="21"/>
        <v>0</v>
      </c>
      <c r="Y163" s="295">
        <f t="shared" si="22"/>
        <v>0</v>
      </c>
      <c r="Z163" s="295">
        <f t="shared" si="23"/>
        <v>0</v>
      </c>
      <c r="AA163" s="295">
        <f t="shared" si="24"/>
        <v>0</v>
      </c>
      <c r="AB163" s="294">
        <f t="shared" si="25"/>
        <v>0</v>
      </c>
      <c r="AC163" s="294">
        <f t="shared" si="26"/>
        <v>0</v>
      </c>
      <c r="AD163" s="305"/>
      <c r="AE163" s="305"/>
      <c r="AF163" s="305"/>
      <c r="AG163" s="305"/>
      <c r="AH163" s="305"/>
      <c r="AI163" s="305"/>
      <c r="AJ163" s="305"/>
      <c r="AK163" s="305"/>
      <c r="AL163" s="305"/>
      <c r="AM163" s="305"/>
      <c r="AN163" s="305"/>
      <c r="AO163" s="305"/>
      <c r="AP163" s="305"/>
      <c r="AQ163" s="305"/>
    </row>
    <row r="164" spans="1:43" ht="14.25" hidden="1">
      <c r="A164" s="303"/>
      <c r="B164" s="296" t="s">
        <v>187</v>
      </c>
      <c r="C164" s="296">
        <v>1200</v>
      </c>
      <c r="D164" s="296" t="s">
        <v>508</v>
      </c>
      <c r="E164" s="296" t="s">
        <v>508</v>
      </c>
      <c r="F164" s="296">
        <v>24</v>
      </c>
      <c r="G164" s="296">
        <v>47.1</v>
      </c>
      <c r="H164" s="296">
        <v>41</v>
      </c>
      <c r="I164" s="296" t="s">
        <v>508</v>
      </c>
      <c r="J164" s="296">
        <v>6.5</v>
      </c>
      <c r="K164" s="296">
        <v>0.15</v>
      </c>
      <c r="L164" s="296">
        <v>0.12</v>
      </c>
      <c r="M164" s="296">
        <v>6</v>
      </c>
      <c r="N164" s="296">
        <v>9</v>
      </c>
      <c r="O164" s="296" t="s">
        <v>508</v>
      </c>
      <c r="P164" s="296">
        <v>0</v>
      </c>
      <c r="Q164" s="304"/>
      <c r="R164" s="311">
        <f t="shared" si="31"/>
        <v>0</v>
      </c>
      <c r="S164" s="311">
        <f t="shared" si="34"/>
        <v>1</v>
      </c>
      <c r="T164" s="300">
        <f>IF($B$8=$A$90,1,0)</f>
        <v>1</v>
      </c>
      <c r="U164" s="299">
        <v>1</v>
      </c>
      <c r="V164" s="294">
        <f t="shared" si="19"/>
        <v>0</v>
      </c>
      <c r="W164" s="295">
        <f t="shared" si="20"/>
        <v>0</v>
      </c>
      <c r="X164" s="295">
        <f t="shared" si="21"/>
        <v>0</v>
      </c>
      <c r="Y164" s="295">
        <f t="shared" si="22"/>
        <v>0</v>
      </c>
      <c r="Z164" s="295">
        <f t="shared" si="23"/>
        <v>0</v>
      </c>
      <c r="AA164" s="295">
        <f t="shared" si="24"/>
        <v>0</v>
      </c>
      <c r="AB164" s="294">
        <f t="shared" si="25"/>
        <v>0</v>
      </c>
      <c r="AC164" s="294">
        <f t="shared" si="26"/>
        <v>0</v>
      </c>
      <c r="AD164" s="305"/>
      <c r="AE164" s="305"/>
      <c r="AF164" s="305"/>
      <c r="AG164" s="305"/>
      <c r="AH164" s="305"/>
      <c r="AI164" s="305"/>
      <c r="AJ164" s="305"/>
      <c r="AK164" s="305"/>
      <c r="AL164" s="305"/>
      <c r="AM164" s="305"/>
      <c r="AN164" s="305"/>
      <c r="AO164" s="305"/>
      <c r="AP164" s="305"/>
      <c r="AQ164" s="305"/>
    </row>
    <row r="165" spans="1:43" ht="14.25" hidden="1">
      <c r="A165" s="303"/>
      <c r="B165" s="296" t="s">
        <v>187</v>
      </c>
      <c r="C165" s="296">
        <v>1200</v>
      </c>
      <c r="D165" s="296" t="s">
        <v>508</v>
      </c>
      <c r="E165" s="296" t="s">
        <v>508</v>
      </c>
      <c r="F165" s="296">
        <v>23.9</v>
      </c>
      <c r="G165" s="296">
        <v>49.3</v>
      </c>
      <c r="H165" s="296">
        <v>44</v>
      </c>
      <c r="I165" s="296" t="s">
        <v>508</v>
      </c>
      <c r="J165" s="296">
        <v>7</v>
      </c>
      <c r="K165" s="296">
        <v>0.26</v>
      </c>
      <c r="L165" s="296">
        <v>0.16</v>
      </c>
      <c r="M165" s="296">
        <v>7</v>
      </c>
      <c r="N165" s="296">
        <v>10</v>
      </c>
      <c r="O165" s="296" t="s">
        <v>508</v>
      </c>
      <c r="P165" s="296">
        <v>0</v>
      </c>
      <c r="Q165" s="304"/>
      <c r="R165" s="311">
        <f t="shared" si="31"/>
        <v>0</v>
      </c>
      <c r="S165" s="311">
        <f t="shared" si="34"/>
        <v>1</v>
      </c>
      <c r="T165" s="300">
        <f>IF($B$8=$A$91,1,0)</f>
        <v>0</v>
      </c>
      <c r="U165" s="299">
        <v>1</v>
      </c>
      <c r="V165" s="294">
        <f t="shared" si="19"/>
        <v>0</v>
      </c>
      <c r="W165" s="295">
        <f t="shared" si="20"/>
        <v>0</v>
      </c>
      <c r="X165" s="295">
        <f t="shared" si="21"/>
        <v>0</v>
      </c>
      <c r="Y165" s="295">
        <f t="shared" si="22"/>
        <v>0</v>
      </c>
      <c r="Z165" s="295">
        <f t="shared" si="23"/>
        <v>0</v>
      </c>
      <c r="AA165" s="295">
        <f t="shared" si="24"/>
        <v>0</v>
      </c>
      <c r="AB165" s="294">
        <f t="shared" si="25"/>
        <v>0</v>
      </c>
      <c r="AC165" s="294">
        <f t="shared" si="26"/>
        <v>0</v>
      </c>
      <c r="AD165" s="305"/>
      <c r="AE165" s="305"/>
      <c r="AF165" s="305"/>
      <c r="AG165" s="305"/>
      <c r="AH165" s="305"/>
      <c r="AI165" s="305"/>
      <c r="AJ165" s="305"/>
      <c r="AK165" s="305"/>
      <c r="AL165" s="305"/>
      <c r="AM165" s="305"/>
      <c r="AN165" s="305"/>
      <c r="AO165" s="305"/>
      <c r="AP165" s="305"/>
      <c r="AQ165" s="305"/>
    </row>
    <row r="166" spans="1:43" ht="14.25" hidden="1">
      <c r="A166" s="303"/>
      <c r="B166" s="296" t="s">
        <v>187</v>
      </c>
      <c r="C166" s="296">
        <v>1200</v>
      </c>
      <c r="D166" s="296" t="s">
        <v>508</v>
      </c>
      <c r="E166" s="296" t="s">
        <v>508</v>
      </c>
      <c r="F166" s="296">
        <v>24.1</v>
      </c>
      <c r="G166" s="296">
        <v>52.3</v>
      </c>
      <c r="H166" s="296">
        <v>49</v>
      </c>
      <c r="I166" s="296" t="s">
        <v>508</v>
      </c>
      <c r="J166" s="296">
        <v>7.73</v>
      </c>
      <c r="K166" s="296">
        <v>0.25</v>
      </c>
      <c r="L166" s="296">
        <v>0.16</v>
      </c>
      <c r="M166" s="296">
        <v>8</v>
      </c>
      <c r="N166" s="296">
        <v>11</v>
      </c>
      <c r="O166" s="296" t="s">
        <v>508</v>
      </c>
      <c r="P166" s="312">
        <v>0</v>
      </c>
      <c r="Q166" s="304"/>
      <c r="R166" s="311">
        <f t="shared" si="31"/>
        <v>0</v>
      </c>
      <c r="S166" s="311">
        <f t="shared" si="34"/>
        <v>1</v>
      </c>
      <c r="T166" s="300">
        <f>IF($B$8=$A$92,1,0)</f>
        <v>0</v>
      </c>
      <c r="U166" s="299">
        <v>1</v>
      </c>
      <c r="V166" s="294">
        <f t="shared" si="19"/>
        <v>0</v>
      </c>
      <c r="W166" s="295">
        <f t="shared" si="20"/>
        <v>0</v>
      </c>
      <c r="X166" s="295">
        <f t="shared" si="21"/>
        <v>0</v>
      </c>
      <c r="Y166" s="295">
        <f t="shared" si="22"/>
        <v>0</v>
      </c>
      <c r="Z166" s="295">
        <f t="shared" si="23"/>
        <v>0</v>
      </c>
      <c r="AA166" s="295">
        <f t="shared" si="24"/>
        <v>0</v>
      </c>
      <c r="AB166" s="294">
        <f t="shared" si="25"/>
        <v>0</v>
      </c>
      <c r="AC166" s="294">
        <f t="shared" si="26"/>
        <v>0</v>
      </c>
      <c r="AD166" s="305"/>
      <c r="AE166" s="305"/>
      <c r="AF166" s="305"/>
      <c r="AG166" s="305"/>
      <c r="AH166" s="305"/>
      <c r="AI166" s="305"/>
      <c r="AJ166" s="305"/>
      <c r="AK166" s="305"/>
      <c r="AL166" s="305"/>
      <c r="AM166" s="305"/>
      <c r="AN166" s="305"/>
      <c r="AO166" s="305"/>
      <c r="AP166" s="305"/>
      <c r="AQ166" s="305"/>
    </row>
    <row r="167" spans="1:43" ht="15" hidden="1" thickBot="1">
      <c r="A167" s="303"/>
      <c r="B167" s="301" t="s">
        <v>187</v>
      </c>
      <c r="C167" s="301">
        <v>1200</v>
      </c>
      <c r="D167" s="301" t="s">
        <v>508</v>
      </c>
      <c r="E167" s="301" t="s">
        <v>508</v>
      </c>
      <c r="F167" s="301">
        <v>24.6</v>
      </c>
      <c r="G167" s="301">
        <v>56.2</v>
      </c>
      <c r="H167" s="301">
        <v>55</v>
      </c>
      <c r="I167" s="301" t="s">
        <v>508</v>
      </c>
      <c r="J167" s="301">
        <v>8.78</v>
      </c>
      <c r="K167" s="301">
        <v>0.25</v>
      </c>
      <c r="L167" s="301">
        <v>0.16</v>
      </c>
      <c r="M167" s="301">
        <v>9</v>
      </c>
      <c r="N167" s="301">
        <v>12</v>
      </c>
      <c r="O167" s="301" t="s">
        <v>508</v>
      </c>
      <c r="P167" s="301">
        <v>0</v>
      </c>
      <c r="Q167" s="308"/>
      <c r="R167" s="311">
        <f t="shared" si="31"/>
        <v>0</v>
      </c>
      <c r="S167" s="313">
        <f t="shared" si="34"/>
        <v>1</v>
      </c>
      <c r="T167" s="293">
        <f>IF($B$8=$A$93,1,0)</f>
        <v>0</v>
      </c>
      <c r="U167" s="302">
        <v>1</v>
      </c>
      <c r="V167" s="294">
        <f t="shared" si="19"/>
        <v>0</v>
      </c>
      <c r="W167" s="295">
        <f t="shared" si="20"/>
        <v>0</v>
      </c>
      <c r="X167" s="295">
        <f t="shared" si="21"/>
        <v>0</v>
      </c>
      <c r="Y167" s="295">
        <f t="shared" si="22"/>
        <v>0</v>
      </c>
      <c r="Z167" s="295">
        <f t="shared" si="23"/>
        <v>0</v>
      </c>
      <c r="AA167" s="295">
        <f t="shared" si="24"/>
        <v>0</v>
      </c>
      <c r="AB167" s="294">
        <f t="shared" si="25"/>
        <v>0</v>
      </c>
      <c r="AC167" s="294">
        <f t="shared" si="26"/>
        <v>0</v>
      </c>
      <c r="AD167" s="305"/>
      <c r="AE167" s="305"/>
      <c r="AF167" s="305"/>
      <c r="AG167" s="305"/>
      <c r="AH167" s="305"/>
      <c r="AI167" s="305"/>
      <c r="AJ167" s="305"/>
      <c r="AK167" s="305"/>
      <c r="AL167" s="305"/>
      <c r="AM167" s="305"/>
      <c r="AN167" s="305"/>
      <c r="AO167" s="305"/>
      <c r="AP167" s="305"/>
      <c r="AQ167" s="305"/>
    </row>
    <row r="168" spans="1:43" ht="15" hidden="1" thickBot="1">
      <c r="A168" s="303"/>
      <c r="B168" s="296" t="s">
        <v>187</v>
      </c>
      <c r="C168" s="296">
        <v>1400</v>
      </c>
      <c r="D168" s="296" t="s">
        <v>508</v>
      </c>
      <c r="E168" s="296" t="s">
        <v>508</v>
      </c>
      <c r="F168" s="296">
        <v>27.1</v>
      </c>
      <c r="G168" s="296">
        <v>54.9</v>
      </c>
      <c r="H168" s="296">
        <v>53</v>
      </c>
      <c r="I168" s="296" t="s">
        <v>508</v>
      </c>
      <c r="J168" s="296">
        <v>8.23</v>
      </c>
      <c r="K168" s="296">
        <v>0.23</v>
      </c>
      <c r="L168" s="296">
        <v>0.17</v>
      </c>
      <c r="M168" s="296" t="s">
        <v>508</v>
      </c>
      <c r="N168" s="296">
        <v>1</v>
      </c>
      <c r="O168" s="296">
        <v>10</v>
      </c>
      <c r="P168" s="296">
        <v>8.3</v>
      </c>
      <c r="Q168" s="304"/>
      <c r="R168" s="311">
        <f>IF($B$6&gt;1299.9999,1,0)</f>
        <v>1</v>
      </c>
      <c r="S168" s="298">
        <f>IF($B$7=$A$104,1,0)</f>
        <v>0</v>
      </c>
      <c r="T168" s="299">
        <v>1</v>
      </c>
      <c r="U168" s="298">
        <f aca="true" t="shared" si="35" ref="U168:U173">IF($P$8=$A$126,1,0)</f>
        <v>0</v>
      </c>
      <c r="V168" s="294">
        <f t="shared" si="19"/>
        <v>0</v>
      </c>
      <c r="W168" s="295">
        <f t="shared" si="20"/>
        <v>0</v>
      </c>
      <c r="X168" s="295">
        <f t="shared" si="21"/>
        <v>0</v>
      </c>
      <c r="Y168" s="295">
        <f t="shared" si="22"/>
        <v>0</v>
      </c>
      <c r="Z168" s="295">
        <f t="shared" si="23"/>
        <v>0</v>
      </c>
      <c r="AA168" s="295">
        <f t="shared" si="24"/>
        <v>0</v>
      </c>
      <c r="AB168" s="294">
        <f t="shared" si="25"/>
        <v>0</v>
      </c>
      <c r="AC168" s="294">
        <f t="shared" si="26"/>
        <v>0</v>
      </c>
      <c r="AD168" s="305"/>
      <c r="AE168" s="305"/>
      <c r="AF168" s="305"/>
      <c r="AG168" s="305"/>
      <c r="AH168" s="305"/>
      <c r="AI168" s="305"/>
      <c r="AJ168" s="305"/>
      <c r="AK168" s="305"/>
      <c r="AL168" s="305"/>
      <c r="AM168" s="305"/>
      <c r="AN168" s="305"/>
      <c r="AO168" s="305"/>
      <c r="AP168" s="305"/>
      <c r="AQ168" s="305"/>
    </row>
    <row r="169" spans="1:43" ht="15" hidden="1" thickBot="1">
      <c r="A169" s="303"/>
      <c r="B169" s="296" t="s">
        <v>187</v>
      </c>
      <c r="C169" s="296">
        <v>1400</v>
      </c>
      <c r="D169" s="296" t="s">
        <v>508</v>
      </c>
      <c r="E169" s="296" t="s">
        <v>508</v>
      </c>
      <c r="F169" s="296">
        <v>27.6</v>
      </c>
      <c r="G169" s="296">
        <v>55.5</v>
      </c>
      <c r="H169" s="296">
        <v>54</v>
      </c>
      <c r="I169" s="296" t="s">
        <v>508</v>
      </c>
      <c r="J169" s="296">
        <v>8.56</v>
      </c>
      <c r="K169" s="296">
        <v>0.25</v>
      </c>
      <c r="L169" s="296">
        <v>0.17</v>
      </c>
      <c r="M169" s="296" t="s">
        <v>508</v>
      </c>
      <c r="N169" s="296">
        <v>2</v>
      </c>
      <c r="O169" s="296">
        <v>10</v>
      </c>
      <c r="P169" s="296">
        <v>10</v>
      </c>
      <c r="Q169" s="304"/>
      <c r="R169" s="311">
        <f aca="true" t="shared" si="36" ref="R169:R192">IF($B$6&gt;1299.9999,1,0)</f>
        <v>1</v>
      </c>
      <c r="S169" s="300">
        <f>IF($B$7=$A$105,1,0)</f>
        <v>0</v>
      </c>
      <c r="T169" s="299">
        <v>1</v>
      </c>
      <c r="U169" s="298">
        <f t="shared" si="35"/>
        <v>0</v>
      </c>
      <c r="V169" s="294">
        <f t="shared" si="19"/>
        <v>0</v>
      </c>
      <c r="W169" s="295">
        <f t="shared" si="20"/>
        <v>0</v>
      </c>
      <c r="X169" s="295">
        <f t="shared" si="21"/>
        <v>0</v>
      </c>
      <c r="Y169" s="295">
        <f t="shared" si="22"/>
        <v>0</v>
      </c>
      <c r="Z169" s="295">
        <f t="shared" si="23"/>
        <v>0</v>
      </c>
      <c r="AA169" s="295">
        <f t="shared" si="24"/>
        <v>0</v>
      </c>
      <c r="AB169" s="294">
        <f t="shared" si="25"/>
        <v>0</v>
      </c>
      <c r="AC169" s="294">
        <f t="shared" si="26"/>
        <v>0</v>
      </c>
      <c r="AD169" s="305"/>
      <c r="AE169" s="305"/>
      <c r="AF169" s="305"/>
      <c r="AG169" s="305"/>
      <c r="AH169" s="305"/>
      <c r="AI169" s="305"/>
      <c r="AJ169" s="305"/>
      <c r="AK169" s="305"/>
      <c r="AL169" s="305"/>
      <c r="AM169" s="305"/>
      <c r="AN169" s="305"/>
      <c r="AO169" s="305"/>
      <c r="AP169" s="305"/>
      <c r="AQ169" s="305"/>
    </row>
    <row r="170" spans="1:43" ht="15" hidden="1" thickBot="1">
      <c r="A170" s="303"/>
      <c r="B170" s="296" t="s">
        <v>187</v>
      </c>
      <c r="C170" s="296">
        <v>1400</v>
      </c>
      <c r="D170" s="296" t="s">
        <v>508</v>
      </c>
      <c r="E170" s="296" t="s">
        <v>508</v>
      </c>
      <c r="F170" s="296">
        <v>28.9</v>
      </c>
      <c r="G170" s="296">
        <v>53.3</v>
      </c>
      <c r="H170" s="296">
        <v>51</v>
      </c>
      <c r="I170" s="296" t="s">
        <v>508</v>
      </c>
      <c r="J170" s="296">
        <v>7.91</v>
      </c>
      <c r="K170" s="296">
        <v>0.23</v>
      </c>
      <c r="L170" s="296">
        <v>0.16</v>
      </c>
      <c r="M170" s="296" t="s">
        <v>508</v>
      </c>
      <c r="N170" s="296">
        <v>3</v>
      </c>
      <c r="O170" s="296">
        <v>10</v>
      </c>
      <c r="P170" s="296">
        <v>9</v>
      </c>
      <c r="Q170" s="304"/>
      <c r="R170" s="311">
        <f t="shared" si="36"/>
        <v>1</v>
      </c>
      <c r="S170" s="300">
        <f>IF($B$7=$A$106,1,0)</f>
        <v>0</v>
      </c>
      <c r="T170" s="299">
        <v>1</v>
      </c>
      <c r="U170" s="298">
        <f t="shared" si="35"/>
        <v>0</v>
      </c>
      <c r="V170" s="294">
        <f t="shared" si="19"/>
        <v>0</v>
      </c>
      <c r="W170" s="295">
        <f t="shared" si="20"/>
        <v>0</v>
      </c>
      <c r="X170" s="295">
        <f t="shared" si="21"/>
        <v>0</v>
      </c>
      <c r="Y170" s="295">
        <f t="shared" si="22"/>
        <v>0</v>
      </c>
      <c r="Z170" s="295">
        <f t="shared" si="23"/>
        <v>0</v>
      </c>
      <c r="AA170" s="295">
        <f t="shared" si="24"/>
        <v>0</v>
      </c>
      <c r="AB170" s="294">
        <f t="shared" si="25"/>
        <v>0</v>
      </c>
      <c r="AC170" s="294">
        <f t="shared" si="26"/>
        <v>0</v>
      </c>
      <c r="AD170" s="305"/>
      <c r="AE170" s="305"/>
      <c r="AF170" s="305"/>
      <c r="AG170" s="305"/>
      <c r="AH170" s="305"/>
      <c r="AI170" s="305"/>
      <c r="AJ170" s="305"/>
      <c r="AK170" s="305"/>
      <c r="AL170" s="305"/>
      <c r="AM170" s="305"/>
      <c r="AN170" s="305"/>
      <c r="AO170" s="305"/>
      <c r="AP170" s="305"/>
      <c r="AQ170" s="305"/>
    </row>
    <row r="171" spans="1:43" ht="15" hidden="1" thickBot="1">
      <c r="A171" s="303"/>
      <c r="B171" s="296" t="s">
        <v>187</v>
      </c>
      <c r="C171" s="296">
        <v>1400</v>
      </c>
      <c r="D171" s="296" t="s">
        <v>508</v>
      </c>
      <c r="E171" s="296" t="s">
        <v>508</v>
      </c>
      <c r="F171" s="296">
        <v>28.5</v>
      </c>
      <c r="G171" s="296">
        <v>52.5</v>
      </c>
      <c r="H171" s="296">
        <v>49</v>
      </c>
      <c r="I171" s="296" t="s">
        <v>508</v>
      </c>
      <c r="J171" s="296">
        <v>7.55</v>
      </c>
      <c r="K171" s="296">
        <v>0.21</v>
      </c>
      <c r="L171" s="296">
        <v>0.15</v>
      </c>
      <c r="M171" s="296">
        <v>1</v>
      </c>
      <c r="N171" s="296">
        <v>4</v>
      </c>
      <c r="O171" s="296">
        <v>10</v>
      </c>
      <c r="P171" s="296">
        <v>7.2</v>
      </c>
      <c r="Q171" s="304"/>
      <c r="R171" s="311">
        <f t="shared" si="36"/>
        <v>1</v>
      </c>
      <c r="S171" s="300">
        <f>IF($B$7=$A$107,1,0)</f>
        <v>0</v>
      </c>
      <c r="T171" s="299">
        <v>1</v>
      </c>
      <c r="U171" s="298">
        <f t="shared" si="35"/>
        <v>0</v>
      </c>
      <c r="V171" s="294">
        <f t="shared" si="19"/>
        <v>0</v>
      </c>
      <c r="W171" s="295">
        <f t="shared" si="20"/>
        <v>0</v>
      </c>
      <c r="X171" s="295">
        <f t="shared" si="21"/>
        <v>0</v>
      </c>
      <c r="Y171" s="295">
        <f t="shared" si="22"/>
        <v>0</v>
      </c>
      <c r="Z171" s="295">
        <f t="shared" si="23"/>
        <v>0</v>
      </c>
      <c r="AA171" s="295">
        <f t="shared" si="24"/>
        <v>0</v>
      </c>
      <c r="AB171" s="294">
        <f t="shared" si="25"/>
        <v>0</v>
      </c>
      <c r="AC171" s="294">
        <f t="shared" si="26"/>
        <v>0</v>
      </c>
      <c r="AD171" s="305"/>
      <c r="AE171" s="305"/>
      <c r="AF171" s="305"/>
      <c r="AG171" s="305"/>
      <c r="AH171" s="305"/>
      <c r="AI171" s="305"/>
      <c r="AJ171" s="305"/>
      <c r="AK171" s="305"/>
      <c r="AL171" s="305"/>
      <c r="AM171" s="305"/>
      <c r="AN171" s="305"/>
      <c r="AO171" s="305"/>
      <c r="AP171" s="305"/>
      <c r="AQ171" s="305"/>
    </row>
    <row r="172" spans="1:43" ht="15" hidden="1" thickBot="1">
      <c r="A172" s="303"/>
      <c r="B172" s="296" t="s">
        <v>187</v>
      </c>
      <c r="C172" s="296">
        <v>1400</v>
      </c>
      <c r="D172" s="296" t="s">
        <v>508</v>
      </c>
      <c r="E172" s="296" t="s">
        <v>508</v>
      </c>
      <c r="F172" s="296">
        <v>28</v>
      </c>
      <c r="G172" s="296">
        <v>51.8</v>
      </c>
      <c r="H172" s="296">
        <v>48</v>
      </c>
      <c r="I172" s="296" t="s">
        <v>508</v>
      </c>
      <c r="J172" s="296">
        <v>7.19</v>
      </c>
      <c r="K172" s="296">
        <v>0.2</v>
      </c>
      <c r="L172" s="296">
        <v>0.15</v>
      </c>
      <c r="M172" s="296">
        <v>2</v>
      </c>
      <c r="N172" s="296">
        <v>5</v>
      </c>
      <c r="O172" s="296">
        <v>10</v>
      </c>
      <c r="P172" s="296">
        <v>5.4</v>
      </c>
      <c r="Q172" s="304"/>
      <c r="R172" s="311">
        <f t="shared" si="36"/>
        <v>1</v>
      </c>
      <c r="S172" s="300">
        <f>IF($B$7=$A$108,1,0)</f>
        <v>0</v>
      </c>
      <c r="T172" s="299">
        <v>1</v>
      </c>
      <c r="U172" s="298">
        <f t="shared" si="35"/>
        <v>0</v>
      </c>
      <c r="V172" s="294">
        <f t="shared" si="19"/>
        <v>0</v>
      </c>
      <c r="W172" s="295">
        <f t="shared" si="20"/>
        <v>0</v>
      </c>
      <c r="X172" s="295">
        <f t="shared" si="21"/>
        <v>0</v>
      </c>
      <c r="Y172" s="295">
        <f t="shared" si="22"/>
        <v>0</v>
      </c>
      <c r="Z172" s="295">
        <f t="shared" si="23"/>
        <v>0</v>
      </c>
      <c r="AA172" s="295">
        <f t="shared" si="24"/>
        <v>0</v>
      </c>
      <c r="AB172" s="294">
        <f t="shared" si="25"/>
        <v>0</v>
      </c>
      <c r="AC172" s="294">
        <f t="shared" si="26"/>
        <v>0</v>
      </c>
      <c r="AD172" s="305"/>
      <c r="AE172" s="305"/>
      <c r="AF172" s="305"/>
      <c r="AG172" s="305"/>
      <c r="AH172" s="305"/>
      <c r="AI172" s="305"/>
      <c r="AJ172" s="305"/>
      <c r="AK172" s="305"/>
      <c r="AL172" s="305"/>
      <c r="AM172" s="305"/>
      <c r="AN172" s="305"/>
      <c r="AO172" s="305"/>
      <c r="AP172" s="305"/>
      <c r="AQ172" s="305"/>
    </row>
    <row r="173" spans="1:43" ht="15" hidden="1" thickBot="1">
      <c r="A173" s="303"/>
      <c r="B173" s="301" t="s">
        <v>187</v>
      </c>
      <c r="C173" s="301">
        <v>1400</v>
      </c>
      <c r="D173" s="301" t="s">
        <v>508</v>
      </c>
      <c r="E173" s="301" t="s">
        <v>508</v>
      </c>
      <c r="F173" s="301">
        <v>27.7</v>
      </c>
      <c r="G173" s="301">
        <v>51.2</v>
      </c>
      <c r="H173" s="301">
        <v>47</v>
      </c>
      <c r="I173" s="301" t="s">
        <v>508</v>
      </c>
      <c r="J173" s="301">
        <v>6.9</v>
      </c>
      <c r="K173" s="301">
        <v>0.19</v>
      </c>
      <c r="L173" s="301">
        <v>0.14</v>
      </c>
      <c r="M173" s="301">
        <v>3</v>
      </c>
      <c r="N173" s="301">
        <v>6</v>
      </c>
      <c r="O173" s="301">
        <v>10</v>
      </c>
      <c r="P173" s="301">
        <v>3.9</v>
      </c>
      <c r="Q173" s="308"/>
      <c r="R173" s="311">
        <f t="shared" si="36"/>
        <v>1</v>
      </c>
      <c r="S173" s="293">
        <f>IF($B$7=$A$109,1,0)</f>
        <v>0</v>
      </c>
      <c r="T173" s="302">
        <v>1</v>
      </c>
      <c r="U173" s="298">
        <f t="shared" si="35"/>
        <v>0</v>
      </c>
      <c r="V173" s="294">
        <f t="shared" si="19"/>
        <v>0</v>
      </c>
      <c r="W173" s="295">
        <f t="shared" si="20"/>
        <v>0</v>
      </c>
      <c r="X173" s="295">
        <f t="shared" si="21"/>
        <v>0</v>
      </c>
      <c r="Y173" s="295">
        <f t="shared" si="22"/>
        <v>0</v>
      </c>
      <c r="Z173" s="295">
        <f t="shared" si="23"/>
        <v>0</v>
      </c>
      <c r="AA173" s="295">
        <f t="shared" si="24"/>
        <v>0</v>
      </c>
      <c r="AB173" s="294">
        <f t="shared" si="25"/>
        <v>0</v>
      </c>
      <c r="AC173" s="294">
        <f t="shared" si="26"/>
        <v>0</v>
      </c>
      <c r="AD173" s="305"/>
      <c r="AE173" s="305"/>
      <c r="AF173" s="305"/>
      <c r="AG173" s="305"/>
      <c r="AH173" s="305"/>
      <c r="AI173" s="305"/>
      <c r="AJ173" s="305"/>
      <c r="AK173" s="305"/>
      <c r="AL173" s="305"/>
      <c r="AM173" s="305"/>
      <c r="AN173" s="305"/>
      <c r="AO173" s="305"/>
      <c r="AP173" s="305"/>
      <c r="AQ173" s="305"/>
    </row>
    <row r="174" spans="1:43" ht="15" hidden="1" thickBot="1">
      <c r="A174" s="303"/>
      <c r="B174" s="296" t="s">
        <v>187</v>
      </c>
      <c r="C174" s="296">
        <v>1400</v>
      </c>
      <c r="D174" s="296" t="s">
        <v>508</v>
      </c>
      <c r="E174" s="296" t="s">
        <v>508</v>
      </c>
      <c r="F174" s="296">
        <v>29.5</v>
      </c>
      <c r="G174" s="296">
        <v>58</v>
      </c>
      <c r="H174" s="296">
        <v>58</v>
      </c>
      <c r="I174" s="296" t="s">
        <v>508</v>
      </c>
      <c r="J174" s="296">
        <v>9.76</v>
      </c>
      <c r="K174" s="296">
        <v>0.28</v>
      </c>
      <c r="L174" s="296">
        <v>0.19</v>
      </c>
      <c r="M174" s="296" t="s">
        <v>508</v>
      </c>
      <c r="N174" s="296">
        <v>1</v>
      </c>
      <c r="O174" s="296">
        <v>20</v>
      </c>
      <c r="P174" s="296">
        <v>16.7</v>
      </c>
      <c r="Q174" s="304"/>
      <c r="R174" s="311">
        <f t="shared" si="36"/>
        <v>1</v>
      </c>
      <c r="S174" s="298">
        <f>IF($B$7=$A$104,1,0)</f>
        <v>0</v>
      </c>
      <c r="T174" s="299">
        <v>1</v>
      </c>
      <c r="U174" s="298">
        <f aca="true" t="shared" si="37" ref="U174:U179">IF($P$8=$A$127,1,0)</f>
        <v>0</v>
      </c>
      <c r="V174" s="294">
        <f t="shared" si="19"/>
        <v>0</v>
      </c>
      <c r="W174" s="295">
        <f t="shared" si="20"/>
        <v>0</v>
      </c>
      <c r="X174" s="295">
        <f t="shared" si="21"/>
        <v>0</v>
      </c>
      <c r="Y174" s="295">
        <f t="shared" si="22"/>
        <v>0</v>
      </c>
      <c r="Z174" s="295">
        <f t="shared" si="23"/>
        <v>0</v>
      </c>
      <c r="AA174" s="295">
        <f t="shared" si="24"/>
        <v>0</v>
      </c>
      <c r="AB174" s="294">
        <f t="shared" si="25"/>
        <v>0</v>
      </c>
      <c r="AC174" s="294">
        <f t="shared" si="26"/>
        <v>0</v>
      </c>
      <c r="AD174" s="305"/>
      <c r="AE174" s="305"/>
      <c r="AF174" s="305"/>
      <c r="AG174" s="305"/>
      <c r="AH174" s="305"/>
      <c r="AI174" s="305"/>
      <c r="AJ174" s="305"/>
      <c r="AK174" s="305"/>
      <c r="AL174" s="305"/>
      <c r="AM174" s="305"/>
      <c r="AN174" s="305"/>
      <c r="AO174" s="305"/>
      <c r="AP174" s="305"/>
      <c r="AQ174" s="305"/>
    </row>
    <row r="175" spans="1:43" ht="15" hidden="1" thickBot="1">
      <c r="A175" s="303"/>
      <c r="B175" s="296" t="s">
        <v>187</v>
      </c>
      <c r="C175" s="296">
        <v>1400</v>
      </c>
      <c r="D175" s="296" t="s">
        <v>508</v>
      </c>
      <c r="E175" s="296" t="s">
        <v>508</v>
      </c>
      <c r="F175" s="296">
        <v>30.5</v>
      </c>
      <c r="G175" s="296">
        <v>59.1</v>
      </c>
      <c r="H175" s="296">
        <v>60</v>
      </c>
      <c r="I175" s="296" t="s">
        <v>508</v>
      </c>
      <c r="J175" s="296">
        <v>10.31</v>
      </c>
      <c r="K175" s="296">
        <v>0.3</v>
      </c>
      <c r="L175" s="296">
        <v>0.2</v>
      </c>
      <c r="M175" s="296" t="s">
        <v>508</v>
      </c>
      <c r="N175" s="296">
        <v>2</v>
      </c>
      <c r="O175" s="296">
        <v>20</v>
      </c>
      <c r="P175" s="296">
        <v>20</v>
      </c>
      <c r="Q175" s="304"/>
      <c r="R175" s="311">
        <f t="shared" si="36"/>
        <v>1</v>
      </c>
      <c r="S175" s="300">
        <f>IF($B$7=$A$105,1,0)</f>
        <v>0</v>
      </c>
      <c r="T175" s="299">
        <v>1</v>
      </c>
      <c r="U175" s="298">
        <f t="shared" si="37"/>
        <v>0</v>
      </c>
      <c r="V175" s="294">
        <f t="shared" si="19"/>
        <v>0</v>
      </c>
      <c r="W175" s="295">
        <f t="shared" si="20"/>
        <v>0</v>
      </c>
      <c r="X175" s="295">
        <f t="shared" si="21"/>
        <v>0</v>
      </c>
      <c r="Y175" s="295">
        <f t="shared" si="22"/>
        <v>0</v>
      </c>
      <c r="Z175" s="295">
        <f t="shared" si="23"/>
        <v>0</v>
      </c>
      <c r="AA175" s="295">
        <f t="shared" si="24"/>
        <v>0</v>
      </c>
      <c r="AB175" s="294">
        <f t="shared" si="25"/>
        <v>0</v>
      </c>
      <c r="AC175" s="294">
        <f t="shared" si="26"/>
        <v>0</v>
      </c>
      <c r="AD175" s="305"/>
      <c r="AE175" s="305"/>
      <c r="AF175" s="305"/>
      <c r="AG175" s="305"/>
      <c r="AH175" s="305"/>
      <c r="AI175" s="305"/>
      <c r="AJ175" s="305"/>
      <c r="AK175" s="305"/>
      <c r="AL175" s="305"/>
      <c r="AM175" s="305"/>
      <c r="AN175" s="305"/>
      <c r="AO175" s="305"/>
      <c r="AP175" s="305"/>
      <c r="AQ175" s="305"/>
    </row>
    <row r="176" spans="1:43" ht="15" hidden="1" thickBot="1">
      <c r="A176" s="303"/>
      <c r="B176" s="296" t="s">
        <v>187</v>
      </c>
      <c r="C176" s="296">
        <v>1400</v>
      </c>
      <c r="D176" s="296" t="s">
        <v>508</v>
      </c>
      <c r="E176" s="296" t="s">
        <v>508</v>
      </c>
      <c r="F176" s="296">
        <v>31.3</v>
      </c>
      <c r="G176" s="296">
        <v>56.8</v>
      </c>
      <c r="H176" s="296">
        <v>56</v>
      </c>
      <c r="I176" s="296" t="s">
        <v>508</v>
      </c>
      <c r="J176" s="296">
        <v>9.56</v>
      </c>
      <c r="K176" s="296">
        <v>0.28</v>
      </c>
      <c r="L176" s="296">
        <v>0.19</v>
      </c>
      <c r="M176" s="296" t="s">
        <v>508</v>
      </c>
      <c r="N176" s="296">
        <v>3</v>
      </c>
      <c r="O176" s="296">
        <v>20</v>
      </c>
      <c r="P176" s="296">
        <v>18</v>
      </c>
      <c r="Q176" s="304"/>
      <c r="R176" s="311">
        <f t="shared" si="36"/>
        <v>1</v>
      </c>
      <c r="S176" s="300">
        <f>IF($B$7=$A$106,1,0)</f>
        <v>0</v>
      </c>
      <c r="T176" s="299">
        <v>1</v>
      </c>
      <c r="U176" s="298">
        <f t="shared" si="37"/>
        <v>0</v>
      </c>
      <c r="V176" s="294">
        <f t="shared" si="19"/>
        <v>0</v>
      </c>
      <c r="W176" s="295">
        <f t="shared" si="20"/>
        <v>0</v>
      </c>
      <c r="X176" s="295">
        <f t="shared" si="21"/>
        <v>0</v>
      </c>
      <c r="Y176" s="295">
        <f t="shared" si="22"/>
        <v>0</v>
      </c>
      <c r="Z176" s="295">
        <f t="shared" si="23"/>
        <v>0</v>
      </c>
      <c r="AA176" s="295">
        <f t="shared" si="24"/>
        <v>0</v>
      </c>
      <c r="AB176" s="294">
        <f t="shared" si="25"/>
        <v>0</v>
      </c>
      <c r="AC176" s="294">
        <f t="shared" si="26"/>
        <v>0</v>
      </c>
      <c r="AD176" s="305"/>
      <c r="AE176" s="305"/>
      <c r="AF176" s="305"/>
      <c r="AG176" s="305"/>
      <c r="AH176" s="305"/>
      <c r="AI176" s="305"/>
      <c r="AJ176" s="305"/>
      <c r="AK176" s="305"/>
      <c r="AL176" s="305"/>
      <c r="AM176" s="305"/>
      <c r="AN176" s="305"/>
      <c r="AO176" s="305"/>
      <c r="AP176" s="305"/>
      <c r="AQ176" s="305"/>
    </row>
    <row r="177" spans="1:43" ht="15" hidden="1" thickBot="1">
      <c r="A177" s="303"/>
      <c r="B177" s="296" t="s">
        <v>187</v>
      </c>
      <c r="C177" s="296">
        <v>1400</v>
      </c>
      <c r="D177" s="296" t="s">
        <v>508</v>
      </c>
      <c r="E177" s="296" t="s">
        <v>508</v>
      </c>
      <c r="F177" s="296">
        <v>30.3</v>
      </c>
      <c r="G177" s="296">
        <v>55.5</v>
      </c>
      <c r="H177" s="296">
        <v>54</v>
      </c>
      <c r="I177" s="296" t="s">
        <v>508</v>
      </c>
      <c r="J177" s="296">
        <v>8.94</v>
      </c>
      <c r="K177" s="296">
        <v>0.26</v>
      </c>
      <c r="L177" s="296">
        <v>0.18</v>
      </c>
      <c r="M177" s="296">
        <v>1</v>
      </c>
      <c r="N177" s="296">
        <v>4</v>
      </c>
      <c r="O177" s="296">
        <v>20</v>
      </c>
      <c r="P177" s="296">
        <v>14.4</v>
      </c>
      <c r="Q177" s="304"/>
      <c r="R177" s="311">
        <f t="shared" si="36"/>
        <v>1</v>
      </c>
      <c r="S177" s="300">
        <f>IF($B$7=$A$107,1,0)</f>
        <v>0</v>
      </c>
      <c r="T177" s="299">
        <v>1</v>
      </c>
      <c r="U177" s="298">
        <f t="shared" si="37"/>
        <v>0</v>
      </c>
      <c r="V177" s="294">
        <f t="shared" si="19"/>
        <v>0</v>
      </c>
      <c r="W177" s="295">
        <f t="shared" si="20"/>
        <v>0</v>
      </c>
      <c r="X177" s="295">
        <f t="shared" si="21"/>
        <v>0</v>
      </c>
      <c r="Y177" s="295">
        <f t="shared" si="22"/>
        <v>0</v>
      </c>
      <c r="Z177" s="295">
        <f t="shared" si="23"/>
        <v>0</v>
      </c>
      <c r="AA177" s="295">
        <f t="shared" si="24"/>
        <v>0</v>
      </c>
      <c r="AB177" s="294">
        <f t="shared" si="25"/>
        <v>0</v>
      </c>
      <c r="AC177" s="294">
        <f t="shared" si="26"/>
        <v>0</v>
      </c>
      <c r="AD177" s="305"/>
      <c r="AE177" s="305"/>
      <c r="AF177" s="305"/>
      <c r="AG177" s="305"/>
      <c r="AH177" s="305"/>
      <c r="AI177" s="305"/>
      <c r="AJ177" s="305"/>
      <c r="AK177" s="305"/>
      <c r="AL177" s="305"/>
      <c r="AM177" s="305"/>
      <c r="AN177" s="305"/>
      <c r="AO177" s="305"/>
      <c r="AP177" s="305"/>
      <c r="AQ177" s="305"/>
    </row>
    <row r="178" spans="1:43" ht="15" hidden="1" thickBot="1">
      <c r="A178" s="303"/>
      <c r="B178" s="296" t="s">
        <v>187</v>
      </c>
      <c r="C178" s="296">
        <v>1400</v>
      </c>
      <c r="D178" s="296" t="s">
        <v>508</v>
      </c>
      <c r="E178" s="296" t="s">
        <v>508</v>
      </c>
      <c r="F178" s="296">
        <v>29.4</v>
      </c>
      <c r="G178" s="296">
        <v>54.1</v>
      </c>
      <c r="H178" s="296">
        <v>52</v>
      </c>
      <c r="I178" s="296" t="s">
        <v>508</v>
      </c>
      <c r="J178" s="296">
        <v>8.29</v>
      </c>
      <c r="K178" s="296">
        <v>0.24</v>
      </c>
      <c r="L178" s="296">
        <v>0.17</v>
      </c>
      <c r="M178" s="296">
        <v>2</v>
      </c>
      <c r="N178" s="296">
        <v>5</v>
      </c>
      <c r="O178" s="296">
        <v>20</v>
      </c>
      <c r="P178" s="296">
        <v>10.8</v>
      </c>
      <c r="Q178" s="304"/>
      <c r="R178" s="311">
        <f t="shared" si="36"/>
        <v>1</v>
      </c>
      <c r="S178" s="300">
        <f>IF($B$7=$A$108,1,0)</f>
        <v>0</v>
      </c>
      <c r="T178" s="299">
        <v>1</v>
      </c>
      <c r="U178" s="298">
        <f t="shared" si="37"/>
        <v>0</v>
      </c>
      <c r="V178" s="294">
        <f t="shared" si="19"/>
        <v>0</v>
      </c>
      <c r="W178" s="295">
        <f t="shared" si="20"/>
        <v>0</v>
      </c>
      <c r="X178" s="295">
        <f t="shared" si="21"/>
        <v>0</v>
      </c>
      <c r="Y178" s="295">
        <f t="shared" si="22"/>
        <v>0</v>
      </c>
      <c r="Z178" s="295">
        <f t="shared" si="23"/>
        <v>0</v>
      </c>
      <c r="AA178" s="295">
        <f t="shared" si="24"/>
        <v>0</v>
      </c>
      <c r="AB178" s="294">
        <f t="shared" si="25"/>
        <v>0</v>
      </c>
      <c r="AC178" s="294">
        <f t="shared" si="26"/>
        <v>0</v>
      </c>
      <c r="AD178" s="305"/>
      <c r="AE178" s="305"/>
      <c r="AF178" s="305"/>
      <c r="AG178" s="305"/>
      <c r="AH178" s="305"/>
      <c r="AI178" s="305"/>
      <c r="AJ178" s="305"/>
      <c r="AK178" s="305"/>
      <c r="AL178" s="305"/>
      <c r="AM178" s="305"/>
      <c r="AN178" s="305"/>
      <c r="AO178" s="305"/>
      <c r="AP178" s="305"/>
      <c r="AQ178" s="305"/>
    </row>
    <row r="179" spans="1:43" ht="15" hidden="1" thickBot="1">
      <c r="A179" s="303"/>
      <c r="B179" s="301" t="s">
        <v>187</v>
      </c>
      <c r="C179" s="301">
        <v>1400</v>
      </c>
      <c r="D179" s="301" t="s">
        <v>508</v>
      </c>
      <c r="E179" s="301" t="s">
        <v>508</v>
      </c>
      <c r="F179" s="301">
        <v>28.6</v>
      </c>
      <c r="G179" s="301">
        <v>53</v>
      </c>
      <c r="H179" s="301">
        <v>50</v>
      </c>
      <c r="I179" s="301" t="s">
        <v>508</v>
      </c>
      <c r="J179" s="301">
        <v>7.73</v>
      </c>
      <c r="K179" s="301">
        <v>0.22</v>
      </c>
      <c r="L179" s="301">
        <v>0.16</v>
      </c>
      <c r="M179" s="301">
        <v>3</v>
      </c>
      <c r="N179" s="301">
        <v>6</v>
      </c>
      <c r="O179" s="301">
        <v>20</v>
      </c>
      <c r="P179" s="301">
        <v>7.8</v>
      </c>
      <c r="Q179" s="308"/>
      <c r="R179" s="311">
        <f t="shared" si="36"/>
        <v>1</v>
      </c>
      <c r="S179" s="293">
        <f>IF($B$7=$A$109,1,0)</f>
        <v>0</v>
      </c>
      <c r="T179" s="302">
        <v>1</v>
      </c>
      <c r="U179" s="298">
        <f t="shared" si="37"/>
        <v>0</v>
      </c>
      <c r="V179" s="294">
        <f t="shared" si="19"/>
        <v>0</v>
      </c>
      <c r="W179" s="295">
        <f t="shared" si="20"/>
        <v>0</v>
      </c>
      <c r="X179" s="295">
        <f t="shared" si="21"/>
        <v>0</v>
      </c>
      <c r="Y179" s="295">
        <f t="shared" si="22"/>
        <v>0</v>
      </c>
      <c r="Z179" s="295">
        <f t="shared" si="23"/>
        <v>0</v>
      </c>
      <c r="AA179" s="295">
        <f t="shared" si="24"/>
        <v>0</v>
      </c>
      <c r="AB179" s="294">
        <f t="shared" si="25"/>
        <v>0</v>
      </c>
      <c r="AC179" s="294">
        <f t="shared" si="26"/>
        <v>0</v>
      </c>
      <c r="AD179" s="305"/>
      <c r="AE179" s="305"/>
      <c r="AF179" s="305"/>
      <c r="AG179" s="305"/>
      <c r="AH179" s="305"/>
      <c r="AI179" s="305"/>
      <c r="AJ179" s="305"/>
      <c r="AK179" s="305"/>
      <c r="AL179" s="305"/>
      <c r="AM179" s="305"/>
      <c r="AN179" s="305"/>
      <c r="AO179" s="305"/>
      <c r="AP179" s="305"/>
      <c r="AQ179" s="305"/>
    </row>
    <row r="180" spans="1:43" ht="14.25" hidden="1">
      <c r="A180" s="303"/>
      <c r="B180" s="296" t="s">
        <v>187</v>
      </c>
      <c r="C180" s="296">
        <v>1400</v>
      </c>
      <c r="D180" s="296" t="s">
        <v>508</v>
      </c>
      <c r="E180" s="296" t="s">
        <v>508</v>
      </c>
      <c r="F180" s="296">
        <v>31.9</v>
      </c>
      <c r="G180" s="296">
        <v>60.7</v>
      </c>
      <c r="H180" s="296">
        <v>62</v>
      </c>
      <c r="I180" s="296" t="s">
        <v>508</v>
      </c>
      <c r="J180" s="296">
        <v>11.07</v>
      </c>
      <c r="K180" s="296">
        <v>0.33</v>
      </c>
      <c r="L180" s="296">
        <v>0.22</v>
      </c>
      <c r="M180" s="296" t="s">
        <v>508</v>
      </c>
      <c r="N180" s="296">
        <v>1</v>
      </c>
      <c r="O180" s="296">
        <v>30</v>
      </c>
      <c r="P180" s="296">
        <v>25</v>
      </c>
      <c r="Q180" s="304"/>
      <c r="R180" s="311">
        <f t="shared" si="36"/>
        <v>1</v>
      </c>
      <c r="S180" s="298">
        <f>IF($B$7=$A$104,1,0)</f>
        <v>0</v>
      </c>
      <c r="T180" s="299">
        <v>1</v>
      </c>
      <c r="U180" s="297">
        <f aca="true" t="shared" si="38" ref="U180:U185">IF($P$8=$A$128,1,0)</f>
        <v>0</v>
      </c>
      <c r="V180" s="294">
        <f t="shared" si="19"/>
        <v>0</v>
      </c>
      <c r="W180" s="295">
        <f t="shared" si="20"/>
        <v>0</v>
      </c>
      <c r="X180" s="295">
        <f t="shared" si="21"/>
        <v>0</v>
      </c>
      <c r="Y180" s="295">
        <f t="shared" si="22"/>
        <v>0</v>
      </c>
      <c r="Z180" s="295">
        <f t="shared" si="23"/>
        <v>0</v>
      </c>
      <c r="AA180" s="295">
        <f t="shared" si="24"/>
        <v>0</v>
      </c>
      <c r="AB180" s="294">
        <f t="shared" si="25"/>
        <v>0</v>
      </c>
      <c r="AC180" s="294">
        <f t="shared" si="26"/>
        <v>0</v>
      </c>
      <c r="AD180" s="305"/>
      <c r="AE180" s="305"/>
      <c r="AF180" s="305"/>
      <c r="AG180" s="305"/>
      <c r="AH180" s="305"/>
      <c r="AI180" s="305"/>
      <c r="AJ180" s="305"/>
      <c r="AK180" s="305"/>
      <c r="AL180" s="305"/>
      <c r="AM180" s="305"/>
      <c r="AN180" s="305"/>
      <c r="AO180" s="305"/>
      <c r="AP180" s="305"/>
      <c r="AQ180" s="305"/>
    </row>
    <row r="181" spans="1:43" ht="14.25" hidden="1">
      <c r="A181" s="303"/>
      <c r="B181" s="296" t="s">
        <v>187</v>
      </c>
      <c r="C181" s="296">
        <v>1400</v>
      </c>
      <c r="D181" s="296" t="s">
        <v>508</v>
      </c>
      <c r="E181" s="296" t="s">
        <v>508</v>
      </c>
      <c r="F181" s="296">
        <v>33.3</v>
      </c>
      <c r="G181" s="296">
        <v>62.2</v>
      </c>
      <c r="H181" s="296">
        <v>64</v>
      </c>
      <c r="I181" s="296" t="s">
        <v>508</v>
      </c>
      <c r="J181" s="296">
        <v>11.77</v>
      </c>
      <c r="K181" s="296">
        <v>0.35</v>
      </c>
      <c r="L181" s="296">
        <v>0.23</v>
      </c>
      <c r="M181" s="296" t="s">
        <v>508</v>
      </c>
      <c r="N181" s="296">
        <v>2</v>
      </c>
      <c r="O181" s="296">
        <v>30</v>
      </c>
      <c r="P181" s="296">
        <v>30</v>
      </c>
      <c r="Q181" s="304"/>
      <c r="R181" s="311">
        <f t="shared" si="36"/>
        <v>1</v>
      </c>
      <c r="S181" s="300">
        <f>IF($B$7=$A$105,1,0)</f>
        <v>0</v>
      </c>
      <c r="T181" s="299">
        <v>1</v>
      </c>
      <c r="U181" s="297">
        <f t="shared" si="38"/>
        <v>0</v>
      </c>
      <c r="V181" s="294">
        <f t="shared" si="19"/>
        <v>0</v>
      </c>
      <c r="W181" s="295">
        <f t="shared" si="20"/>
        <v>0</v>
      </c>
      <c r="X181" s="295">
        <f t="shared" si="21"/>
        <v>0</v>
      </c>
      <c r="Y181" s="295">
        <f t="shared" si="22"/>
        <v>0</v>
      </c>
      <c r="Z181" s="295">
        <f t="shared" si="23"/>
        <v>0</v>
      </c>
      <c r="AA181" s="295">
        <f t="shared" si="24"/>
        <v>0</v>
      </c>
      <c r="AB181" s="294">
        <f t="shared" si="25"/>
        <v>0</v>
      </c>
      <c r="AC181" s="294">
        <f t="shared" si="26"/>
        <v>0</v>
      </c>
      <c r="AD181" s="305"/>
      <c r="AE181" s="305"/>
      <c r="AF181" s="305"/>
      <c r="AG181" s="305"/>
      <c r="AH181" s="305"/>
      <c r="AI181" s="305"/>
      <c r="AJ181" s="305"/>
      <c r="AK181" s="305"/>
      <c r="AL181" s="305"/>
      <c r="AM181" s="305"/>
      <c r="AN181" s="305"/>
      <c r="AO181" s="305"/>
      <c r="AP181" s="305"/>
      <c r="AQ181" s="305"/>
    </row>
    <row r="182" spans="1:43" ht="14.25" hidden="1">
      <c r="A182" s="303"/>
      <c r="B182" s="296" t="s">
        <v>187</v>
      </c>
      <c r="C182" s="296">
        <v>1400</v>
      </c>
      <c r="D182" s="296" t="s">
        <v>508</v>
      </c>
      <c r="E182" s="296" t="s">
        <v>508</v>
      </c>
      <c r="F182" s="296">
        <v>33.7</v>
      </c>
      <c r="G182" s="296">
        <v>59.8</v>
      </c>
      <c r="H182" s="296">
        <v>61</v>
      </c>
      <c r="I182" s="296" t="s">
        <v>508</v>
      </c>
      <c r="J182" s="296">
        <v>10.95</v>
      </c>
      <c r="K182" s="296">
        <v>0.32</v>
      </c>
      <c r="L182" s="296">
        <v>0.21</v>
      </c>
      <c r="M182" s="296" t="s">
        <v>508</v>
      </c>
      <c r="N182" s="296">
        <v>3</v>
      </c>
      <c r="O182" s="296">
        <v>30</v>
      </c>
      <c r="P182" s="296">
        <v>27</v>
      </c>
      <c r="Q182" s="304"/>
      <c r="R182" s="311">
        <f t="shared" si="36"/>
        <v>1</v>
      </c>
      <c r="S182" s="300">
        <f>IF($B$7=$A$106,1,0)</f>
        <v>0</v>
      </c>
      <c r="T182" s="299">
        <v>1</v>
      </c>
      <c r="U182" s="297">
        <f t="shared" si="38"/>
        <v>0</v>
      </c>
      <c r="V182" s="294">
        <f t="shared" si="19"/>
        <v>0</v>
      </c>
      <c r="W182" s="295">
        <f t="shared" si="20"/>
        <v>0</v>
      </c>
      <c r="X182" s="295">
        <f t="shared" si="21"/>
        <v>0</v>
      </c>
      <c r="Y182" s="295">
        <f t="shared" si="22"/>
        <v>0</v>
      </c>
      <c r="Z182" s="295">
        <f t="shared" si="23"/>
        <v>0</v>
      </c>
      <c r="AA182" s="295">
        <f t="shared" si="24"/>
        <v>0</v>
      </c>
      <c r="AB182" s="294">
        <f t="shared" si="25"/>
        <v>0</v>
      </c>
      <c r="AC182" s="294">
        <f t="shared" si="26"/>
        <v>0</v>
      </c>
      <c r="AD182" s="305"/>
      <c r="AE182" s="305"/>
      <c r="AF182" s="305"/>
      <c r="AG182" s="305"/>
      <c r="AH182" s="305"/>
      <c r="AI182" s="305"/>
      <c r="AJ182" s="305"/>
      <c r="AK182" s="305"/>
      <c r="AL182" s="305"/>
      <c r="AM182" s="305"/>
      <c r="AN182" s="305"/>
      <c r="AO182" s="305"/>
      <c r="AP182" s="305"/>
      <c r="AQ182" s="305"/>
    </row>
    <row r="183" spans="1:43" ht="14.25" hidden="1">
      <c r="A183" s="303"/>
      <c r="B183" s="296" t="s">
        <v>187</v>
      </c>
      <c r="C183" s="296">
        <v>1400</v>
      </c>
      <c r="D183" s="296" t="s">
        <v>508</v>
      </c>
      <c r="E183" s="296" t="s">
        <v>508</v>
      </c>
      <c r="F183" s="296">
        <v>32.3</v>
      </c>
      <c r="G183" s="296">
        <v>58.1</v>
      </c>
      <c r="H183" s="296">
        <v>58</v>
      </c>
      <c r="I183" s="296" t="s">
        <v>508</v>
      </c>
      <c r="J183" s="296">
        <v>10.15</v>
      </c>
      <c r="K183" s="296">
        <v>0.3</v>
      </c>
      <c r="L183" s="296">
        <v>0.2</v>
      </c>
      <c r="M183" s="296">
        <v>1</v>
      </c>
      <c r="N183" s="296">
        <v>4</v>
      </c>
      <c r="O183" s="296">
        <v>30</v>
      </c>
      <c r="P183" s="296">
        <v>21.6</v>
      </c>
      <c r="Q183" s="304"/>
      <c r="R183" s="311">
        <f t="shared" si="36"/>
        <v>1</v>
      </c>
      <c r="S183" s="300">
        <f>IF($B$7=$A$107,1,0)</f>
        <v>0</v>
      </c>
      <c r="T183" s="299">
        <v>1</v>
      </c>
      <c r="U183" s="297">
        <f t="shared" si="38"/>
        <v>0</v>
      </c>
      <c r="V183" s="294">
        <f t="shared" si="19"/>
        <v>0</v>
      </c>
      <c r="W183" s="295">
        <f t="shared" si="20"/>
        <v>0</v>
      </c>
      <c r="X183" s="295">
        <f t="shared" si="21"/>
        <v>0</v>
      </c>
      <c r="Y183" s="295">
        <f t="shared" si="22"/>
        <v>0</v>
      </c>
      <c r="Z183" s="295">
        <f t="shared" si="23"/>
        <v>0</v>
      </c>
      <c r="AA183" s="295">
        <f t="shared" si="24"/>
        <v>0</v>
      </c>
      <c r="AB183" s="294">
        <f aca="true" t="shared" si="39" ref="AB183:AB192">V183*P183</f>
        <v>0</v>
      </c>
      <c r="AC183" s="294">
        <f aca="true" t="shared" si="40" ref="AC183:AC192">F183*V183</f>
        <v>0</v>
      </c>
      <c r="AD183" s="305"/>
      <c r="AE183" s="305"/>
      <c r="AF183" s="305"/>
      <c r="AG183" s="305"/>
      <c r="AH183" s="305"/>
      <c r="AI183" s="305"/>
      <c r="AJ183" s="305"/>
      <c r="AK183" s="305"/>
      <c r="AL183" s="305"/>
      <c r="AM183" s="305"/>
      <c r="AN183" s="305"/>
      <c r="AO183" s="305"/>
      <c r="AP183" s="305"/>
      <c r="AQ183" s="305"/>
    </row>
    <row r="184" spans="1:43" ht="14.25" hidden="1">
      <c r="A184" s="303"/>
      <c r="B184" s="296" t="s">
        <v>187</v>
      </c>
      <c r="C184" s="296">
        <v>1400</v>
      </c>
      <c r="D184" s="296" t="s">
        <v>508</v>
      </c>
      <c r="E184" s="296" t="s">
        <v>508</v>
      </c>
      <c r="F184" s="296">
        <v>30.8</v>
      </c>
      <c r="G184" s="296">
        <v>56.2</v>
      </c>
      <c r="H184" s="296">
        <v>55</v>
      </c>
      <c r="I184" s="296" t="s">
        <v>508</v>
      </c>
      <c r="J184" s="296">
        <v>9.27</v>
      </c>
      <c r="K184" s="296">
        <v>0.27</v>
      </c>
      <c r="L184" s="296">
        <v>0.18</v>
      </c>
      <c r="M184" s="296">
        <v>2</v>
      </c>
      <c r="N184" s="296">
        <v>5</v>
      </c>
      <c r="O184" s="296">
        <v>30</v>
      </c>
      <c r="P184" s="296">
        <v>16.2</v>
      </c>
      <c r="Q184" s="304"/>
      <c r="R184" s="311">
        <f t="shared" si="36"/>
        <v>1</v>
      </c>
      <c r="S184" s="300">
        <f>IF($B$7=$A$108,1,0)</f>
        <v>0</v>
      </c>
      <c r="T184" s="299">
        <v>1</v>
      </c>
      <c r="U184" s="297">
        <f t="shared" si="38"/>
        <v>0</v>
      </c>
      <c r="V184" s="294">
        <f t="shared" si="19"/>
        <v>0</v>
      </c>
      <c r="W184" s="295">
        <f t="shared" si="20"/>
        <v>0</v>
      </c>
      <c r="X184" s="295">
        <f t="shared" si="21"/>
        <v>0</v>
      </c>
      <c r="Y184" s="295">
        <f t="shared" si="22"/>
        <v>0</v>
      </c>
      <c r="Z184" s="295">
        <f t="shared" si="23"/>
        <v>0</v>
      </c>
      <c r="AA184" s="295">
        <f t="shared" si="24"/>
        <v>0</v>
      </c>
      <c r="AB184" s="294">
        <f t="shared" si="39"/>
        <v>0</v>
      </c>
      <c r="AC184" s="294">
        <f t="shared" si="40"/>
        <v>0</v>
      </c>
      <c r="AD184" s="305"/>
      <c r="AE184" s="305"/>
      <c r="AF184" s="305"/>
      <c r="AG184" s="305"/>
      <c r="AH184" s="305"/>
      <c r="AI184" s="305"/>
      <c r="AJ184" s="305"/>
      <c r="AK184" s="305"/>
      <c r="AL184" s="305"/>
      <c r="AM184" s="305"/>
      <c r="AN184" s="305"/>
      <c r="AO184" s="305"/>
      <c r="AP184" s="305"/>
      <c r="AQ184" s="305"/>
    </row>
    <row r="185" spans="1:43" ht="15" hidden="1" thickBot="1">
      <c r="A185" s="303"/>
      <c r="B185" s="301" t="s">
        <v>187</v>
      </c>
      <c r="C185" s="301">
        <v>1400</v>
      </c>
      <c r="D185" s="301" t="s">
        <v>508</v>
      </c>
      <c r="E185" s="301" t="s">
        <v>508</v>
      </c>
      <c r="F185" s="301">
        <v>29.6</v>
      </c>
      <c r="G185" s="301">
        <v>54.7</v>
      </c>
      <c r="H185" s="301">
        <v>53</v>
      </c>
      <c r="I185" s="301" t="s">
        <v>508</v>
      </c>
      <c r="J185" s="301">
        <v>8.49</v>
      </c>
      <c r="K185" s="301">
        <v>0.24</v>
      </c>
      <c r="L185" s="301">
        <v>0.17</v>
      </c>
      <c r="M185" s="301">
        <v>3</v>
      </c>
      <c r="N185" s="301">
        <v>6</v>
      </c>
      <c r="O185" s="301">
        <v>30</v>
      </c>
      <c r="P185" s="301">
        <v>11.7</v>
      </c>
      <c r="Q185" s="308"/>
      <c r="R185" s="311">
        <f t="shared" si="36"/>
        <v>1</v>
      </c>
      <c r="S185" s="293">
        <f>IF($B$7=$A$109,1,0)</f>
        <v>0</v>
      </c>
      <c r="T185" s="302">
        <v>1</v>
      </c>
      <c r="U185" s="297">
        <f t="shared" si="38"/>
        <v>0</v>
      </c>
      <c r="V185" s="294">
        <f aca="true" t="shared" si="41" ref="V185:V192">R185*S185*T185*U185</f>
        <v>0</v>
      </c>
      <c r="W185" s="295">
        <f aca="true" t="shared" si="42" ref="W185:W192">IF(V185=1,G185,0)</f>
        <v>0</v>
      </c>
      <c r="X185" s="295">
        <f aca="true" t="shared" si="43" ref="X185:X192">IF(V185=1,H185,0)</f>
        <v>0</v>
      </c>
      <c r="Y185" s="295">
        <f aca="true" t="shared" si="44" ref="Y185:Y192">IF(V185=1,J185,0)</f>
        <v>0</v>
      </c>
      <c r="Z185" s="295">
        <f aca="true" t="shared" si="45" ref="Z185:Z192">IF(V185=1,K185,0)</f>
        <v>0</v>
      </c>
      <c r="AA185" s="295">
        <f aca="true" t="shared" si="46" ref="AA185:AA192">IF(V185=1,L185,0)</f>
        <v>0</v>
      </c>
      <c r="AB185" s="294">
        <f t="shared" si="39"/>
        <v>0</v>
      </c>
      <c r="AC185" s="294">
        <f t="shared" si="40"/>
        <v>0</v>
      </c>
      <c r="AD185" s="305"/>
      <c r="AE185" s="305"/>
      <c r="AF185" s="305"/>
      <c r="AG185" s="305"/>
      <c r="AH185" s="305"/>
      <c r="AI185" s="305"/>
      <c r="AJ185" s="305"/>
      <c r="AK185" s="305"/>
      <c r="AL185" s="305"/>
      <c r="AM185" s="305"/>
      <c r="AN185" s="305"/>
      <c r="AO185" s="305"/>
      <c r="AP185" s="305"/>
      <c r="AQ185" s="305"/>
    </row>
    <row r="186" spans="1:43" ht="14.25" hidden="1">
      <c r="A186" s="303"/>
      <c r="B186" s="296" t="s">
        <v>187</v>
      </c>
      <c r="C186" s="296">
        <v>1400</v>
      </c>
      <c r="D186" s="296" t="s">
        <v>508</v>
      </c>
      <c r="E186" s="296" t="s">
        <v>508</v>
      </c>
      <c r="F186" s="296">
        <v>27.2</v>
      </c>
      <c r="G186" s="296">
        <v>45</v>
      </c>
      <c r="H186" s="296">
        <v>37</v>
      </c>
      <c r="I186" s="296" t="s">
        <v>508</v>
      </c>
      <c r="J186" s="296">
        <v>6</v>
      </c>
      <c r="K186" s="296">
        <v>0.16</v>
      </c>
      <c r="L186" s="296">
        <v>0.12</v>
      </c>
      <c r="M186" s="296" t="s">
        <v>255</v>
      </c>
      <c r="N186" s="296">
        <v>7</v>
      </c>
      <c r="O186" s="296" t="s">
        <v>508</v>
      </c>
      <c r="P186" s="296">
        <v>0</v>
      </c>
      <c r="Q186" s="304"/>
      <c r="R186" s="311">
        <f t="shared" si="36"/>
        <v>1</v>
      </c>
      <c r="S186" s="311">
        <f aca="true" t="shared" si="47" ref="S186:S192">IF($B$7=$A$110,1,0)</f>
        <v>1</v>
      </c>
      <c r="T186" s="300">
        <f>D198</f>
        <v>0</v>
      </c>
      <c r="U186" s="299">
        <v>1</v>
      </c>
      <c r="V186" s="294">
        <f>R186*S186*T186*U186</f>
        <v>0</v>
      </c>
      <c r="W186" s="295">
        <f>IF(V186=1,G186,0)</f>
        <v>0</v>
      </c>
      <c r="X186" s="295">
        <f>IF(V186=1,H186,0)</f>
        <v>0</v>
      </c>
      <c r="Y186" s="295">
        <f>IF(V186=1,J186,0)</f>
        <v>0</v>
      </c>
      <c r="Z186" s="295">
        <f>IF(V186=1,K186,0)</f>
        <v>0</v>
      </c>
      <c r="AA186" s="295">
        <f>IF(V186=1,L186,0)</f>
        <v>0</v>
      </c>
      <c r="AB186" s="294">
        <f t="shared" si="39"/>
        <v>0</v>
      </c>
      <c r="AC186" s="294">
        <f t="shared" si="40"/>
        <v>0</v>
      </c>
      <c r="AD186" s="305"/>
      <c r="AE186" s="305"/>
      <c r="AF186" s="305"/>
      <c r="AG186" s="305"/>
      <c r="AH186" s="305"/>
      <c r="AI186" s="305"/>
      <c r="AJ186" s="305"/>
      <c r="AK186" s="305"/>
      <c r="AL186" s="305"/>
      <c r="AM186" s="305"/>
      <c r="AN186" s="305"/>
      <c r="AO186" s="305"/>
      <c r="AP186" s="305"/>
      <c r="AQ186" s="305"/>
    </row>
    <row r="187" spans="1:43" ht="14.25" hidden="1">
      <c r="A187" s="303"/>
      <c r="B187" s="296" t="s">
        <v>187</v>
      </c>
      <c r="C187" s="296">
        <v>1400</v>
      </c>
      <c r="D187" s="296" t="s">
        <v>508</v>
      </c>
      <c r="E187" s="296" t="s">
        <v>508</v>
      </c>
      <c r="F187" s="296">
        <v>27.2</v>
      </c>
      <c r="G187" s="296">
        <v>45</v>
      </c>
      <c r="H187" s="296">
        <v>37</v>
      </c>
      <c r="I187" s="296" t="s">
        <v>508</v>
      </c>
      <c r="J187" s="296">
        <v>6</v>
      </c>
      <c r="K187" s="296">
        <v>0.16</v>
      </c>
      <c r="L187" s="296">
        <v>0.12</v>
      </c>
      <c r="M187" s="296">
        <v>4</v>
      </c>
      <c r="N187" s="296">
        <v>7</v>
      </c>
      <c r="O187" s="296" t="s">
        <v>508</v>
      </c>
      <c r="P187" s="296">
        <v>0</v>
      </c>
      <c r="Q187" s="304"/>
      <c r="R187" s="311">
        <f t="shared" si="36"/>
        <v>1</v>
      </c>
      <c r="S187" s="311">
        <f t="shared" si="47"/>
        <v>1</v>
      </c>
      <c r="T187" s="300">
        <f>IF($B$8=$A$88,1,0)</f>
        <v>0</v>
      </c>
      <c r="U187" s="299">
        <v>1</v>
      </c>
      <c r="V187" s="294">
        <f t="shared" si="41"/>
        <v>0</v>
      </c>
      <c r="W187" s="295">
        <f t="shared" si="42"/>
        <v>0</v>
      </c>
      <c r="X187" s="295">
        <f t="shared" si="43"/>
        <v>0</v>
      </c>
      <c r="Y187" s="295">
        <f t="shared" si="44"/>
        <v>0</v>
      </c>
      <c r="Z187" s="295">
        <f t="shared" si="45"/>
        <v>0</v>
      </c>
      <c r="AA187" s="295">
        <f t="shared" si="46"/>
        <v>0</v>
      </c>
      <c r="AB187" s="294">
        <f t="shared" si="39"/>
        <v>0</v>
      </c>
      <c r="AC187" s="294">
        <f t="shared" si="40"/>
        <v>0</v>
      </c>
      <c r="AD187" s="305"/>
      <c r="AE187" s="305"/>
      <c r="AF187" s="305"/>
      <c r="AG187" s="305"/>
      <c r="AH187" s="305"/>
      <c r="AI187" s="305"/>
      <c r="AJ187" s="305"/>
      <c r="AK187" s="305"/>
      <c r="AL187" s="305"/>
      <c r="AM187" s="305"/>
      <c r="AN187" s="305"/>
      <c r="AO187" s="305"/>
      <c r="AP187" s="305"/>
      <c r="AQ187" s="305"/>
    </row>
    <row r="188" spans="1:43" ht="14.25" hidden="1">
      <c r="A188" s="303"/>
      <c r="B188" s="296" t="s">
        <v>187</v>
      </c>
      <c r="C188" s="296">
        <v>1400</v>
      </c>
      <c r="D188" s="296" t="s">
        <v>508</v>
      </c>
      <c r="E188" s="296" t="s">
        <v>508</v>
      </c>
      <c r="F188" s="296">
        <v>27</v>
      </c>
      <c r="G188" s="296">
        <v>45.8</v>
      </c>
      <c r="H188" s="296">
        <v>39</v>
      </c>
      <c r="I188" s="296" t="s">
        <v>508</v>
      </c>
      <c r="J188" s="296">
        <v>6.2</v>
      </c>
      <c r="K188" s="296">
        <v>0.16</v>
      </c>
      <c r="L188" s="296">
        <v>0.12</v>
      </c>
      <c r="M188" s="296">
        <v>5</v>
      </c>
      <c r="N188" s="296">
        <v>8</v>
      </c>
      <c r="O188" s="296" t="s">
        <v>508</v>
      </c>
      <c r="P188" s="296">
        <v>0</v>
      </c>
      <c r="Q188" s="304"/>
      <c r="R188" s="311">
        <f t="shared" si="36"/>
        <v>1</v>
      </c>
      <c r="S188" s="311">
        <f t="shared" si="47"/>
        <v>1</v>
      </c>
      <c r="T188" s="300">
        <f>IF($B$8=$A$89,1,0)</f>
        <v>0</v>
      </c>
      <c r="U188" s="299">
        <v>1</v>
      </c>
      <c r="V188" s="294">
        <f t="shared" si="41"/>
        <v>0</v>
      </c>
      <c r="W188" s="295">
        <f t="shared" si="42"/>
        <v>0</v>
      </c>
      <c r="X188" s="295">
        <f t="shared" si="43"/>
        <v>0</v>
      </c>
      <c r="Y188" s="295">
        <f t="shared" si="44"/>
        <v>0</v>
      </c>
      <c r="Z188" s="295">
        <f t="shared" si="45"/>
        <v>0</v>
      </c>
      <c r="AA188" s="295">
        <f t="shared" si="46"/>
        <v>0</v>
      </c>
      <c r="AB188" s="294">
        <f t="shared" si="39"/>
        <v>0</v>
      </c>
      <c r="AC188" s="294">
        <f t="shared" si="40"/>
        <v>0</v>
      </c>
      <c r="AD188" s="305"/>
      <c r="AE188" s="305"/>
      <c r="AF188" s="305"/>
      <c r="AG188" s="305"/>
      <c r="AH188" s="305"/>
      <c r="AI188" s="305"/>
      <c r="AJ188" s="305"/>
      <c r="AK188" s="305"/>
      <c r="AL188" s="305"/>
      <c r="AM188" s="305"/>
      <c r="AN188" s="305"/>
      <c r="AO188" s="305"/>
      <c r="AP188" s="305"/>
      <c r="AQ188" s="305"/>
    </row>
    <row r="189" spans="1:43" ht="14.25" hidden="1">
      <c r="A189" s="303"/>
      <c r="B189" s="296" t="s">
        <v>187</v>
      </c>
      <c r="C189" s="296">
        <v>1400</v>
      </c>
      <c r="D189" s="296" t="s">
        <v>508</v>
      </c>
      <c r="E189" s="296" t="s">
        <v>508</v>
      </c>
      <c r="F189" s="296">
        <v>26.9</v>
      </c>
      <c r="G189" s="296">
        <v>47.3</v>
      </c>
      <c r="H189" s="296">
        <v>41</v>
      </c>
      <c r="I189" s="296" t="s">
        <v>508</v>
      </c>
      <c r="J189" s="296">
        <v>6.53</v>
      </c>
      <c r="K189" s="296">
        <v>0.16</v>
      </c>
      <c r="L189" s="296">
        <v>0.12</v>
      </c>
      <c r="M189" s="296">
        <v>6</v>
      </c>
      <c r="N189" s="296">
        <v>9</v>
      </c>
      <c r="O189" s="296" t="s">
        <v>508</v>
      </c>
      <c r="P189" s="296">
        <v>0</v>
      </c>
      <c r="Q189" s="304"/>
      <c r="R189" s="311">
        <f t="shared" si="36"/>
        <v>1</v>
      </c>
      <c r="S189" s="311">
        <f t="shared" si="47"/>
        <v>1</v>
      </c>
      <c r="T189" s="300">
        <f>IF($B$8=$A$90,1,0)</f>
        <v>1</v>
      </c>
      <c r="U189" s="299">
        <v>1</v>
      </c>
      <c r="V189" s="294">
        <f t="shared" si="41"/>
        <v>1</v>
      </c>
      <c r="W189" s="295">
        <f t="shared" si="42"/>
        <v>47.3</v>
      </c>
      <c r="X189" s="295">
        <f t="shared" si="43"/>
        <v>41</v>
      </c>
      <c r="Y189" s="295">
        <f t="shared" si="44"/>
        <v>6.53</v>
      </c>
      <c r="Z189" s="295">
        <f t="shared" si="45"/>
        <v>0.16</v>
      </c>
      <c r="AA189" s="295">
        <f t="shared" si="46"/>
        <v>0.12</v>
      </c>
      <c r="AB189" s="294">
        <f t="shared" si="39"/>
        <v>0</v>
      </c>
      <c r="AC189" s="294">
        <f t="shared" si="40"/>
        <v>26.9</v>
      </c>
      <c r="AD189" s="305"/>
      <c r="AE189" s="305"/>
      <c r="AF189" s="305"/>
      <c r="AG189" s="305"/>
      <c r="AH189" s="305"/>
      <c r="AI189" s="305"/>
      <c r="AJ189" s="305"/>
      <c r="AK189" s="305"/>
      <c r="AL189" s="305"/>
      <c r="AM189" s="305"/>
      <c r="AN189" s="305"/>
      <c r="AO189" s="305"/>
      <c r="AP189" s="305"/>
      <c r="AQ189" s="305"/>
    </row>
    <row r="190" spans="1:43" ht="14.25" hidden="1">
      <c r="A190" s="303"/>
      <c r="B190" s="296" t="s">
        <v>187</v>
      </c>
      <c r="C190" s="296">
        <v>1400</v>
      </c>
      <c r="D190" s="296" t="s">
        <v>508</v>
      </c>
      <c r="E190" s="296" t="s">
        <v>508</v>
      </c>
      <c r="F190" s="296">
        <v>26.8</v>
      </c>
      <c r="G190" s="296">
        <v>49.5</v>
      </c>
      <c r="H190" s="296">
        <v>44</v>
      </c>
      <c r="I190" s="296" t="s">
        <v>508</v>
      </c>
      <c r="J190" s="296">
        <v>7.04</v>
      </c>
      <c r="K190" s="296">
        <v>0.27</v>
      </c>
      <c r="L190" s="296">
        <v>0.17</v>
      </c>
      <c r="M190" s="296">
        <v>7</v>
      </c>
      <c r="N190" s="296">
        <v>10</v>
      </c>
      <c r="O190" s="296" t="s">
        <v>508</v>
      </c>
      <c r="P190" s="296">
        <v>0</v>
      </c>
      <c r="Q190" s="304"/>
      <c r="R190" s="311">
        <f t="shared" si="36"/>
        <v>1</v>
      </c>
      <c r="S190" s="311">
        <f t="shared" si="47"/>
        <v>1</v>
      </c>
      <c r="T190" s="300">
        <f>IF($B$8=$A$91,1,0)</f>
        <v>0</v>
      </c>
      <c r="U190" s="299">
        <v>1</v>
      </c>
      <c r="V190" s="294">
        <f t="shared" si="41"/>
        <v>0</v>
      </c>
      <c r="W190" s="295">
        <f t="shared" si="42"/>
        <v>0</v>
      </c>
      <c r="X190" s="295">
        <f t="shared" si="43"/>
        <v>0</v>
      </c>
      <c r="Y190" s="295">
        <f t="shared" si="44"/>
        <v>0</v>
      </c>
      <c r="Z190" s="295">
        <f t="shared" si="45"/>
        <v>0</v>
      </c>
      <c r="AA190" s="295">
        <f t="shared" si="46"/>
        <v>0</v>
      </c>
      <c r="AB190" s="294">
        <f t="shared" si="39"/>
        <v>0</v>
      </c>
      <c r="AC190" s="294">
        <f t="shared" si="40"/>
        <v>0</v>
      </c>
      <c r="AD190" s="305"/>
      <c r="AE190" s="305"/>
      <c r="AF190" s="305"/>
      <c r="AG190" s="305"/>
      <c r="AH190" s="305"/>
      <c r="AI190" s="305"/>
      <c r="AJ190" s="305"/>
      <c r="AK190" s="305"/>
      <c r="AL190" s="305"/>
      <c r="AM190" s="305"/>
      <c r="AN190" s="305"/>
      <c r="AO190" s="305"/>
      <c r="AP190" s="305"/>
      <c r="AQ190" s="305"/>
    </row>
    <row r="191" spans="1:43" ht="14.25" hidden="1">
      <c r="A191" s="303"/>
      <c r="B191" s="296" t="s">
        <v>187</v>
      </c>
      <c r="C191" s="296">
        <v>1400</v>
      </c>
      <c r="D191" s="296" t="s">
        <v>508</v>
      </c>
      <c r="E191" s="296" t="s">
        <v>508</v>
      </c>
      <c r="F191" s="296">
        <v>27</v>
      </c>
      <c r="G191" s="296">
        <v>52.6</v>
      </c>
      <c r="H191" s="296">
        <v>49</v>
      </c>
      <c r="I191" s="296" t="s">
        <v>508</v>
      </c>
      <c r="J191" s="296">
        <v>7.8</v>
      </c>
      <c r="K191" s="296">
        <v>0.26</v>
      </c>
      <c r="L191" s="296">
        <v>0.17</v>
      </c>
      <c r="M191" s="296">
        <v>8</v>
      </c>
      <c r="N191" s="296">
        <v>11</v>
      </c>
      <c r="O191" s="296" t="s">
        <v>508</v>
      </c>
      <c r="P191" s="312">
        <v>0</v>
      </c>
      <c r="Q191" s="304"/>
      <c r="R191" s="311">
        <f t="shared" si="36"/>
        <v>1</v>
      </c>
      <c r="S191" s="311">
        <f t="shared" si="47"/>
        <v>1</v>
      </c>
      <c r="T191" s="300">
        <f>IF($B$8=$A$92,1,0)</f>
        <v>0</v>
      </c>
      <c r="U191" s="299">
        <v>1</v>
      </c>
      <c r="V191" s="294">
        <f t="shared" si="41"/>
        <v>0</v>
      </c>
      <c r="W191" s="295">
        <f t="shared" si="42"/>
        <v>0</v>
      </c>
      <c r="X191" s="295">
        <f t="shared" si="43"/>
        <v>0</v>
      </c>
      <c r="Y191" s="295">
        <f t="shared" si="44"/>
        <v>0</v>
      </c>
      <c r="Z191" s="295">
        <f t="shared" si="45"/>
        <v>0</v>
      </c>
      <c r="AA191" s="295">
        <f t="shared" si="46"/>
        <v>0</v>
      </c>
      <c r="AB191" s="294">
        <f t="shared" si="39"/>
        <v>0</v>
      </c>
      <c r="AC191" s="294">
        <f t="shared" si="40"/>
        <v>0</v>
      </c>
      <c r="AD191" s="305"/>
      <c r="AE191" s="305"/>
      <c r="AF191" s="305"/>
      <c r="AG191" s="305"/>
      <c r="AH191" s="305"/>
      <c r="AI191" s="305"/>
      <c r="AJ191" s="305"/>
      <c r="AK191" s="305"/>
      <c r="AL191" s="305"/>
      <c r="AM191" s="305"/>
      <c r="AN191" s="305"/>
      <c r="AO191" s="305"/>
      <c r="AP191" s="305"/>
      <c r="AQ191" s="305"/>
    </row>
    <row r="192" spans="1:43" ht="15" hidden="1" thickBot="1">
      <c r="A192" s="303"/>
      <c r="B192" s="301" t="s">
        <v>187</v>
      </c>
      <c r="C192" s="301">
        <v>1400</v>
      </c>
      <c r="D192" s="301" t="s">
        <v>508</v>
      </c>
      <c r="E192" s="301" t="s">
        <v>508</v>
      </c>
      <c r="F192" s="301">
        <v>27.6</v>
      </c>
      <c r="G192" s="301">
        <v>56.6</v>
      </c>
      <c r="H192" s="301">
        <v>56</v>
      </c>
      <c r="I192" s="301" t="s">
        <v>508</v>
      </c>
      <c r="J192" s="301">
        <v>8.88</v>
      </c>
      <c r="K192" s="301">
        <v>0.26</v>
      </c>
      <c r="L192" s="301">
        <v>0.16</v>
      </c>
      <c r="M192" s="301">
        <v>9</v>
      </c>
      <c r="N192" s="301">
        <v>12</v>
      </c>
      <c r="O192" s="301" t="s">
        <v>508</v>
      </c>
      <c r="P192" s="301">
        <v>0</v>
      </c>
      <c r="Q192" s="308"/>
      <c r="R192" s="311">
        <f t="shared" si="36"/>
        <v>1</v>
      </c>
      <c r="S192" s="313">
        <f t="shared" si="47"/>
        <v>1</v>
      </c>
      <c r="T192" s="293">
        <f>IF($B$8=$A$93,1,0)</f>
        <v>0</v>
      </c>
      <c r="U192" s="302">
        <v>1</v>
      </c>
      <c r="V192" s="294">
        <f t="shared" si="41"/>
        <v>0</v>
      </c>
      <c r="W192" s="295">
        <f t="shared" si="42"/>
        <v>0</v>
      </c>
      <c r="X192" s="295">
        <f t="shared" si="43"/>
        <v>0</v>
      </c>
      <c r="Y192" s="295">
        <f t="shared" si="44"/>
        <v>0</v>
      </c>
      <c r="Z192" s="295">
        <f t="shared" si="45"/>
        <v>0</v>
      </c>
      <c r="AA192" s="295">
        <f t="shared" si="46"/>
        <v>0</v>
      </c>
      <c r="AB192" s="294">
        <f t="shared" si="39"/>
        <v>0</v>
      </c>
      <c r="AC192" s="294">
        <f t="shared" si="40"/>
        <v>0</v>
      </c>
      <c r="AD192" s="305"/>
      <c r="AE192" s="305"/>
      <c r="AF192" s="305"/>
      <c r="AG192" s="305"/>
      <c r="AH192" s="305"/>
      <c r="AI192" s="305"/>
      <c r="AJ192" s="305"/>
      <c r="AK192" s="305"/>
      <c r="AL192" s="305"/>
      <c r="AM192" s="305"/>
      <c r="AN192" s="305"/>
      <c r="AO192" s="305"/>
      <c r="AP192" s="305"/>
      <c r="AQ192" s="305"/>
    </row>
    <row r="193" spans="1:43" ht="14.25" hidden="1">
      <c r="A193" s="303"/>
      <c r="B193" s="303"/>
      <c r="C193" s="303"/>
      <c r="D193" s="303"/>
      <c r="E193" s="303"/>
      <c r="F193" s="303"/>
      <c r="G193" s="303"/>
      <c r="H193" s="303"/>
      <c r="I193" s="303"/>
      <c r="J193" s="303"/>
      <c r="K193" s="303"/>
      <c r="L193" s="303"/>
      <c r="M193" s="303"/>
      <c r="N193" s="303"/>
      <c r="O193" s="303"/>
      <c r="P193" s="303"/>
      <c r="Q193" s="303"/>
      <c r="R193" s="303"/>
      <c r="S193" s="303"/>
      <c r="T193" s="303"/>
      <c r="U193" s="303"/>
      <c r="V193" s="305"/>
      <c r="W193" s="314">
        <f aca="true" t="shared" si="48" ref="W193:AC193">SUM(W118:W192)</f>
        <v>47.3</v>
      </c>
      <c r="X193" s="314">
        <f t="shared" si="48"/>
        <v>41</v>
      </c>
      <c r="Y193" s="314">
        <f t="shared" si="48"/>
        <v>6.53</v>
      </c>
      <c r="Z193" s="314">
        <f t="shared" si="48"/>
        <v>0.16</v>
      </c>
      <c r="AA193" s="314">
        <f t="shared" si="48"/>
        <v>0.12</v>
      </c>
      <c r="AB193" s="314">
        <f t="shared" si="48"/>
        <v>0</v>
      </c>
      <c r="AC193" s="314">
        <f t="shared" si="48"/>
        <v>26.9</v>
      </c>
      <c r="AD193" s="305"/>
      <c r="AE193" s="305"/>
      <c r="AF193" s="305"/>
      <c r="AG193" s="305"/>
      <c r="AH193" s="305"/>
      <c r="AI193" s="305"/>
      <c r="AJ193" s="305"/>
      <c r="AK193" s="305"/>
      <c r="AL193" s="305"/>
      <c r="AM193" s="305"/>
      <c r="AN193" s="305"/>
      <c r="AO193" s="305"/>
      <c r="AP193" s="305"/>
      <c r="AQ193" s="305"/>
    </row>
    <row r="194" spans="1:43" ht="15" hidden="1">
      <c r="A194" s="303"/>
      <c r="B194" s="315" t="s">
        <v>254</v>
      </c>
      <c r="C194" s="315"/>
      <c r="D194" s="315"/>
      <c r="E194" s="315"/>
      <c r="F194" s="315"/>
      <c r="G194" s="315"/>
      <c r="H194" s="315"/>
      <c r="I194" s="315"/>
      <c r="J194" s="315"/>
      <c r="K194" s="303"/>
      <c r="L194" s="303"/>
      <c r="M194" s="303"/>
      <c r="N194" s="303"/>
      <c r="O194" s="303"/>
      <c r="P194" s="303"/>
      <c r="Q194" s="303"/>
      <c r="R194" s="303"/>
      <c r="S194" s="303"/>
      <c r="T194" s="303"/>
      <c r="U194" s="303"/>
      <c r="V194" s="305"/>
      <c r="W194" s="305"/>
      <c r="X194" s="305"/>
      <c r="Y194" s="305"/>
      <c r="Z194" s="305"/>
      <c r="AA194" s="305"/>
      <c r="AB194" s="305"/>
      <c r="AC194" s="305"/>
      <c r="AD194" s="305"/>
      <c r="AE194" s="305"/>
      <c r="AF194" s="305"/>
      <c r="AG194" s="305"/>
      <c r="AH194" s="305"/>
      <c r="AI194" s="305"/>
      <c r="AJ194" s="305"/>
      <c r="AK194" s="305"/>
      <c r="AL194" s="305"/>
      <c r="AM194" s="305"/>
      <c r="AN194" s="305"/>
      <c r="AO194" s="305"/>
      <c r="AP194" s="305"/>
      <c r="AQ194" s="305"/>
    </row>
    <row r="195" spans="1:43" ht="14.25" hidden="1">
      <c r="A195" s="303"/>
      <c r="B195" s="274">
        <v>1000</v>
      </c>
      <c r="C195" s="274">
        <v>1200</v>
      </c>
      <c r="D195" s="274">
        <v>1400</v>
      </c>
      <c r="E195" s="304"/>
      <c r="F195" s="304"/>
      <c r="G195" s="304"/>
      <c r="H195" s="304"/>
      <c r="I195" s="304"/>
      <c r="J195" s="304"/>
      <c r="K195" s="303"/>
      <c r="L195" s="303"/>
      <c r="M195" s="303"/>
      <c r="N195" s="303"/>
      <c r="O195" s="303"/>
      <c r="P195" s="303"/>
      <c r="Q195" s="303"/>
      <c r="R195" s="303"/>
      <c r="S195" s="303"/>
      <c r="T195" s="303"/>
      <c r="U195" s="303"/>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row>
    <row r="196" spans="1:43" ht="14.25" hidden="1">
      <c r="A196" s="303"/>
      <c r="B196" s="274">
        <f>IF($B$8=$A$86,1,0)</f>
        <v>0</v>
      </c>
      <c r="C196" s="274">
        <f>IF($B$8=$A$86,1,0)</f>
        <v>0</v>
      </c>
      <c r="D196" s="274">
        <f>IF($B$8=$A$86,1,0)</f>
        <v>0</v>
      </c>
      <c r="E196" s="304"/>
      <c r="F196" s="304"/>
      <c r="G196" s="304"/>
      <c r="H196" s="304"/>
      <c r="I196" s="304"/>
      <c r="J196" s="304"/>
      <c r="K196" s="303"/>
      <c r="L196" s="303"/>
      <c r="M196" s="303"/>
      <c r="N196" s="303"/>
      <c r="O196" s="303"/>
      <c r="P196" s="303"/>
      <c r="Q196" s="303"/>
      <c r="R196" s="303"/>
      <c r="S196" s="303"/>
      <c r="T196" s="303"/>
      <c r="U196" s="303"/>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row>
    <row r="197" spans="1:43" ht="14.25" hidden="1">
      <c r="A197" s="303"/>
      <c r="B197" s="274">
        <f>IF($B$8=$A$87,1,0)</f>
        <v>0</v>
      </c>
      <c r="C197" s="274">
        <f>IF($B$8=$A$87,1,0)</f>
        <v>0</v>
      </c>
      <c r="D197" s="274">
        <f>IF($B$8=$A$87,1,0)</f>
        <v>0</v>
      </c>
      <c r="E197" s="304"/>
      <c r="F197" s="304"/>
      <c r="G197" s="304"/>
      <c r="H197" s="304"/>
      <c r="I197" s="304"/>
      <c r="J197" s="304"/>
      <c r="K197" s="303"/>
      <c r="L197" s="303"/>
      <c r="M197" s="303"/>
      <c r="N197" s="303"/>
      <c r="O197" s="303"/>
      <c r="P197" s="303"/>
      <c r="Q197" s="303"/>
      <c r="R197" s="303"/>
      <c r="S197" s="303"/>
      <c r="T197" s="303"/>
      <c r="U197" s="303"/>
      <c r="V197" s="305"/>
      <c r="W197" s="305"/>
      <c r="X197" s="305"/>
      <c r="Y197" s="305"/>
      <c r="Z197" s="305"/>
      <c r="AA197" s="305"/>
      <c r="AB197" s="305"/>
      <c r="AC197" s="305"/>
      <c r="AD197" s="305"/>
      <c r="AE197" s="305"/>
      <c r="AF197" s="305"/>
      <c r="AG197" s="305"/>
      <c r="AH197" s="305"/>
      <c r="AI197" s="305"/>
      <c r="AJ197" s="305"/>
      <c r="AK197" s="305"/>
      <c r="AL197" s="305"/>
      <c r="AM197" s="305"/>
      <c r="AN197" s="305"/>
      <c r="AO197" s="305"/>
      <c r="AP197" s="305"/>
      <c r="AQ197" s="305"/>
    </row>
    <row r="198" spans="1:43" ht="15" hidden="1" thickBot="1">
      <c r="A198" s="303"/>
      <c r="B198" s="316">
        <f>SUM(B196:B197)</f>
        <v>0</v>
      </c>
      <c r="C198" s="316">
        <f>SUM(C196:C197)</f>
        <v>0</v>
      </c>
      <c r="D198" s="316">
        <f>SUM(D196:D197)</f>
        <v>0</v>
      </c>
      <c r="E198" s="304"/>
      <c r="F198" s="304"/>
      <c r="G198" s="304"/>
      <c r="H198" s="304"/>
      <c r="I198" s="304"/>
      <c r="J198" s="304"/>
      <c r="K198" s="303"/>
      <c r="L198" s="303"/>
      <c r="M198" s="303"/>
      <c r="N198" s="303"/>
      <c r="O198" s="303"/>
      <c r="P198" s="303"/>
      <c r="Q198" s="303"/>
      <c r="R198" s="303"/>
      <c r="S198" s="303"/>
      <c r="T198" s="303"/>
      <c r="U198" s="303"/>
      <c r="V198" s="305"/>
      <c r="W198" s="305"/>
      <c r="X198" s="305"/>
      <c r="Y198" s="305"/>
      <c r="Z198" s="305"/>
      <c r="AA198" s="305"/>
      <c r="AB198" s="305"/>
      <c r="AC198" s="305"/>
      <c r="AD198" s="305"/>
      <c r="AE198" s="305"/>
      <c r="AF198" s="305"/>
      <c r="AG198" s="305"/>
      <c r="AH198" s="305"/>
      <c r="AI198" s="305"/>
      <c r="AJ198" s="305"/>
      <c r="AK198" s="305"/>
      <c r="AL198" s="305"/>
      <c r="AM198" s="305"/>
      <c r="AN198" s="305"/>
      <c r="AO198" s="305"/>
      <c r="AP198" s="305"/>
      <c r="AQ198" s="305"/>
    </row>
    <row r="199" spans="1:43" ht="15" hidden="1" thickTop="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81"/>
      <c r="W199" s="281"/>
      <c r="X199" s="281"/>
      <c r="Y199" s="281"/>
      <c r="Z199" s="281"/>
      <c r="AA199" s="281"/>
      <c r="AB199" s="281"/>
      <c r="AC199" s="281"/>
      <c r="AD199" s="281"/>
      <c r="AE199" s="281"/>
      <c r="AF199" s="281"/>
      <c r="AG199" s="281"/>
      <c r="AH199" s="281"/>
      <c r="AI199" s="281"/>
      <c r="AJ199" s="281"/>
      <c r="AK199" s="281"/>
      <c r="AL199" s="281"/>
      <c r="AM199" s="281"/>
      <c r="AN199" s="281"/>
      <c r="AO199" s="281"/>
      <c r="AP199" s="281"/>
      <c r="AQ199" s="281"/>
    </row>
    <row r="200" spans="1:43" ht="14.25" hidden="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281"/>
    </row>
    <row r="201" spans="1:43" ht="14.25" hidden="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81"/>
      <c r="W201" s="281"/>
      <c r="X201" s="281"/>
      <c r="Y201" s="281"/>
      <c r="Z201" s="281"/>
      <c r="AA201" s="281"/>
      <c r="AB201" s="281"/>
      <c r="AC201" s="281"/>
      <c r="AD201" s="281"/>
      <c r="AE201" s="281"/>
      <c r="AF201" s="281"/>
      <c r="AG201" s="281"/>
      <c r="AH201" s="281"/>
      <c r="AI201" s="281"/>
      <c r="AJ201" s="281"/>
      <c r="AK201" s="281"/>
      <c r="AL201" s="281"/>
      <c r="AM201" s="281"/>
      <c r="AN201" s="281"/>
      <c r="AO201" s="281"/>
      <c r="AP201" s="281"/>
      <c r="AQ201" s="281"/>
    </row>
    <row r="202" spans="1:43" ht="14.25" hidden="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81"/>
      <c r="W202" s="281"/>
      <c r="X202" s="281"/>
      <c r="Y202" s="281"/>
      <c r="Z202" s="281"/>
      <c r="AA202" s="281"/>
      <c r="AB202" s="281"/>
      <c r="AC202" s="281"/>
      <c r="AD202" s="281"/>
      <c r="AE202" s="281"/>
      <c r="AF202" s="281"/>
      <c r="AG202" s="281"/>
      <c r="AH202" s="281"/>
      <c r="AI202" s="281"/>
      <c r="AJ202" s="281"/>
      <c r="AK202" s="281"/>
      <c r="AL202" s="281"/>
      <c r="AM202" s="281"/>
      <c r="AN202" s="281"/>
      <c r="AO202" s="281"/>
      <c r="AP202" s="281"/>
      <c r="AQ202" s="281"/>
    </row>
    <row r="203" spans="1:43" ht="14.25">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81"/>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row>
    <row r="204" spans="1:43" ht="14.25">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81"/>
      <c r="W204" s="281"/>
      <c r="X204" s="281"/>
      <c r="Y204" s="281"/>
      <c r="Z204" s="281"/>
      <c r="AA204" s="281"/>
      <c r="AB204" s="281"/>
      <c r="AC204" s="281"/>
      <c r="AD204" s="281"/>
      <c r="AE204" s="281"/>
      <c r="AF204" s="281"/>
      <c r="AG204" s="281"/>
      <c r="AH204" s="281"/>
      <c r="AI204" s="281"/>
      <c r="AJ204" s="281"/>
      <c r="AK204" s="281"/>
      <c r="AL204" s="281"/>
      <c r="AM204" s="281"/>
      <c r="AN204" s="281"/>
      <c r="AO204" s="281"/>
      <c r="AP204" s="281"/>
      <c r="AQ204" s="281"/>
    </row>
    <row r="205" spans="1:43" ht="14.25">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81"/>
      <c r="W205" s="281"/>
      <c r="X205" s="281"/>
      <c r="Y205" s="281"/>
      <c r="Z205" s="281"/>
      <c r="AA205" s="281"/>
      <c r="AB205" s="281"/>
      <c r="AC205" s="281"/>
      <c r="AD205" s="281"/>
      <c r="AE205" s="281"/>
      <c r="AF205" s="281"/>
      <c r="AG205" s="281"/>
      <c r="AH205" s="281"/>
      <c r="AI205" s="281"/>
      <c r="AJ205" s="281"/>
      <c r="AK205" s="281"/>
      <c r="AL205" s="281"/>
      <c r="AM205" s="281"/>
      <c r="AN205" s="281"/>
      <c r="AO205" s="281"/>
      <c r="AP205" s="281"/>
      <c r="AQ205" s="281"/>
    </row>
    <row r="206" spans="1:43" ht="14.25">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81"/>
      <c r="W206" s="281"/>
      <c r="X206" s="281"/>
      <c r="Y206" s="281"/>
      <c r="Z206" s="281"/>
      <c r="AA206" s="281"/>
      <c r="AB206" s="281"/>
      <c r="AC206" s="281"/>
      <c r="AD206" s="281"/>
      <c r="AE206" s="281"/>
      <c r="AF206" s="281"/>
      <c r="AG206" s="281"/>
      <c r="AH206" s="281"/>
      <c r="AI206" s="281"/>
      <c r="AJ206" s="281"/>
      <c r="AK206" s="281"/>
      <c r="AL206" s="281"/>
      <c r="AM206" s="281"/>
      <c r="AN206" s="281"/>
      <c r="AO206" s="281"/>
      <c r="AP206" s="281"/>
      <c r="AQ206" s="281"/>
    </row>
    <row r="207" spans="1:43" ht="14.25">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81"/>
      <c r="W207" s="281"/>
      <c r="X207" s="281"/>
      <c r="Y207" s="281"/>
      <c r="Z207" s="281"/>
      <c r="AA207" s="281"/>
      <c r="AB207" s="281"/>
      <c r="AC207" s="281"/>
      <c r="AD207" s="281"/>
      <c r="AE207" s="281"/>
      <c r="AF207" s="281"/>
      <c r="AG207" s="281"/>
      <c r="AH207" s="281"/>
      <c r="AI207" s="281"/>
      <c r="AJ207" s="281"/>
      <c r="AK207" s="281"/>
      <c r="AL207" s="281"/>
      <c r="AM207" s="281"/>
      <c r="AN207" s="281"/>
      <c r="AO207" s="281"/>
      <c r="AP207" s="281"/>
      <c r="AQ207" s="281"/>
    </row>
    <row r="208" spans="1:43" ht="14.25">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row>
    <row r="209" spans="1:43" ht="14.25">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row>
    <row r="210" spans="1:43" ht="14.25">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row>
    <row r="211" spans="1:43" ht="14.25">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81"/>
      <c r="W211" s="281"/>
      <c r="X211" s="281"/>
      <c r="Y211" s="281"/>
      <c r="Z211" s="281"/>
      <c r="AA211" s="281"/>
      <c r="AB211" s="281"/>
      <c r="AC211" s="281"/>
      <c r="AD211" s="281"/>
      <c r="AE211" s="281"/>
      <c r="AF211" s="281"/>
      <c r="AG211" s="281"/>
      <c r="AH211" s="281"/>
      <c r="AI211" s="281"/>
      <c r="AJ211" s="281"/>
      <c r="AK211" s="281"/>
      <c r="AL211" s="281"/>
      <c r="AM211" s="281"/>
      <c r="AN211" s="281"/>
      <c r="AO211" s="281"/>
      <c r="AP211" s="281"/>
      <c r="AQ211" s="281"/>
    </row>
    <row r="212" spans="1:43" ht="14.25">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row>
    <row r="213" spans="1:43" ht="14.25">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row>
    <row r="214" spans="1:43" ht="14.25">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row>
    <row r="215" spans="1:43" ht="14.25">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81"/>
      <c r="W215" s="281"/>
      <c r="X215" s="281"/>
      <c r="Y215" s="281"/>
      <c r="Z215" s="281"/>
      <c r="AA215" s="281"/>
      <c r="AB215" s="281"/>
      <c r="AC215" s="281"/>
      <c r="AD215" s="281"/>
      <c r="AE215" s="281"/>
      <c r="AF215" s="281"/>
      <c r="AG215" s="281"/>
      <c r="AH215" s="281"/>
      <c r="AI215" s="281"/>
      <c r="AJ215" s="281"/>
      <c r="AK215" s="281"/>
      <c r="AL215" s="281"/>
      <c r="AM215" s="281"/>
      <c r="AN215" s="281"/>
      <c r="AO215" s="281"/>
      <c r="AP215" s="281"/>
      <c r="AQ215" s="281"/>
    </row>
    <row r="216" spans="1:43" ht="14.25">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81"/>
      <c r="W216" s="281"/>
      <c r="X216" s="281"/>
      <c r="Y216" s="281"/>
      <c r="Z216" s="281"/>
      <c r="AA216" s="281"/>
      <c r="AB216" s="281"/>
      <c r="AC216" s="281"/>
      <c r="AD216" s="281"/>
      <c r="AE216" s="281"/>
      <c r="AF216" s="281"/>
      <c r="AG216" s="281"/>
      <c r="AH216" s="281"/>
      <c r="AI216" s="281"/>
      <c r="AJ216" s="281"/>
      <c r="AK216" s="281"/>
      <c r="AL216" s="281"/>
      <c r="AM216" s="281"/>
      <c r="AN216" s="281"/>
      <c r="AO216" s="281"/>
      <c r="AP216" s="281"/>
      <c r="AQ216" s="281"/>
    </row>
    <row r="217" spans="1:43" ht="14.25">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81"/>
      <c r="W217" s="281"/>
      <c r="X217" s="281"/>
      <c r="Y217" s="281"/>
      <c r="Z217" s="281"/>
      <c r="AA217" s="281"/>
      <c r="AB217" s="281"/>
      <c r="AC217" s="281"/>
      <c r="AD217" s="281"/>
      <c r="AE217" s="281"/>
      <c r="AF217" s="281"/>
      <c r="AG217" s="281"/>
      <c r="AH217" s="281"/>
      <c r="AI217" s="281"/>
      <c r="AJ217" s="281"/>
      <c r="AK217" s="281"/>
      <c r="AL217" s="281"/>
      <c r="AM217" s="281"/>
      <c r="AN217" s="281"/>
      <c r="AO217" s="281"/>
      <c r="AP217" s="281"/>
      <c r="AQ217" s="281"/>
    </row>
    <row r="218" spans="1:43" ht="14.25">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row>
    <row r="219" spans="1:43" ht="14.25">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81"/>
      <c r="W219" s="281"/>
      <c r="X219" s="281"/>
      <c r="Y219" s="281"/>
      <c r="Z219" s="281"/>
      <c r="AA219" s="281"/>
      <c r="AB219" s="281"/>
      <c r="AC219" s="281"/>
      <c r="AD219" s="281"/>
      <c r="AE219" s="281"/>
      <c r="AF219" s="281"/>
      <c r="AG219" s="281"/>
      <c r="AH219" s="281"/>
      <c r="AI219" s="281"/>
      <c r="AJ219" s="281"/>
      <c r="AK219" s="281"/>
      <c r="AL219" s="281"/>
      <c r="AM219" s="281"/>
      <c r="AN219" s="281"/>
      <c r="AO219" s="281"/>
      <c r="AP219" s="281"/>
      <c r="AQ219" s="281"/>
    </row>
    <row r="220" spans="1:43" ht="14.25">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row>
    <row r="221" spans="1:43" ht="14.25">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row>
    <row r="222" spans="1:43" ht="14.25">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row>
    <row r="223" spans="1:43" ht="14.25">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81"/>
      <c r="W223" s="281"/>
      <c r="X223" s="281"/>
      <c r="Y223" s="281"/>
      <c r="Z223" s="281"/>
      <c r="AA223" s="281"/>
      <c r="AB223" s="281"/>
      <c r="AC223" s="281"/>
      <c r="AD223" s="281"/>
      <c r="AE223" s="281"/>
      <c r="AF223" s="281"/>
      <c r="AG223" s="281"/>
      <c r="AH223" s="281"/>
      <c r="AI223" s="281"/>
      <c r="AJ223" s="281"/>
      <c r="AK223" s="281"/>
      <c r="AL223" s="281"/>
      <c r="AM223" s="281"/>
      <c r="AN223" s="281"/>
      <c r="AO223" s="281"/>
      <c r="AP223" s="281"/>
      <c r="AQ223" s="281"/>
    </row>
    <row r="224" spans="1:43" ht="14.25">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row>
    <row r="225" spans="1:43" ht="14.25">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81"/>
      <c r="W225" s="281"/>
      <c r="X225" s="281"/>
      <c r="Y225" s="281"/>
      <c r="Z225" s="281"/>
      <c r="AA225" s="281"/>
      <c r="AB225" s="281"/>
      <c r="AC225" s="281"/>
      <c r="AD225" s="281"/>
      <c r="AE225" s="281"/>
      <c r="AF225" s="281"/>
      <c r="AG225" s="281"/>
      <c r="AH225" s="281"/>
      <c r="AI225" s="281"/>
      <c r="AJ225" s="281"/>
      <c r="AK225" s="281"/>
      <c r="AL225" s="281"/>
      <c r="AM225" s="281"/>
      <c r="AN225" s="281"/>
      <c r="AO225" s="281"/>
      <c r="AP225" s="281"/>
      <c r="AQ225" s="281"/>
    </row>
    <row r="226" spans="1:43" ht="14.25">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81"/>
      <c r="W226" s="281"/>
      <c r="X226" s="281"/>
      <c r="Y226" s="281"/>
      <c r="Z226" s="281"/>
      <c r="AA226" s="281"/>
      <c r="AB226" s="281"/>
      <c r="AC226" s="281"/>
      <c r="AD226" s="281"/>
      <c r="AE226" s="281"/>
      <c r="AF226" s="281"/>
      <c r="AG226" s="281"/>
      <c r="AH226" s="281"/>
      <c r="AI226" s="281"/>
      <c r="AJ226" s="281"/>
      <c r="AK226" s="281"/>
      <c r="AL226" s="281"/>
      <c r="AM226" s="281"/>
      <c r="AN226" s="281"/>
      <c r="AO226" s="281"/>
      <c r="AP226" s="281"/>
      <c r="AQ226" s="281"/>
    </row>
    <row r="227" spans="1:43" ht="14.25">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81"/>
      <c r="W227" s="281"/>
      <c r="X227" s="281"/>
      <c r="Y227" s="281"/>
      <c r="Z227" s="281"/>
      <c r="AA227" s="281"/>
      <c r="AB227" s="281"/>
      <c r="AC227" s="281"/>
      <c r="AD227" s="281"/>
      <c r="AE227" s="281"/>
      <c r="AF227" s="281"/>
      <c r="AG227" s="281"/>
      <c r="AH227" s="281"/>
      <c r="AI227" s="281"/>
      <c r="AJ227" s="281"/>
      <c r="AK227" s="281"/>
      <c r="AL227" s="281"/>
      <c r="AM227" s="281"/>
      <c r="AN227" s="281"/>
      <c r="AO227" s="281"/>
      <c r="AP227" s="281"/>
      <c r="AQ227" s="281"/>
    </row>
    <row r="228" spans="1:43" ht="14.25">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81"/>
      <c r="W228" s="281"/>
      <c r="X228" s="281"/>
      <c r="Y228" s="281"/>
      <c r="Z228" s="281"/>
      <c r="AA228" s="281"/>
      <c r="AB228" s="281"/>
      <c r="AC228" s="281"/>
      <c r="AD228" s="281"/>
      <c r="AE228" s="281"/>
      <c r="AF228" s="281"/>
      <c r="AG228" s="281"/>
      <c r="AH228" s="281"/>
      <c r="AI228" s="281"/>
      <c r="AJ228" s="281"/>
      <c r="AK228" s="281"/>
      <c r="AL228" s="281"/>
      <c r="AM228" s="281"/>
      <c r="AN228" s="281"/>
      <c r="AO228" s="281"/>
      <c r="AP228" s="281"/>
      <c r="AQ228" s="281"/>
    </row>
    <row r="229" spans="1:43" ht="14.25">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81"/>
      <c r="W229" s="281"/>
      <c r="X229" s="281"/>
      <c r="Y229" s="281"/>
      <c r="Z229" s="281"/>
      <c r="AA229" s="281"/>
      <c r="AB229" s="281"/>
      <c r="AC229" s="281"/>
      <c r="AD229" s="281"/>
      <c r="AE229" s="281"/>
      <c r="AF229" s="281"/>
      <c r="AG229" s="281"/>
      <c r="AH229" s="281"/>
      <c r="AI229" s="281"/>
      <c r="AJ229" s="281"/>
      <c r="AK229" s="281"/>
      <c r="AL229" s="281"/>
      <c r="AM229" s="281"/>
      <c r="AN229" s="281"/>
      <c r="AO229" s="281"/>
      <c r="AP229" s="281"/>
      <c r="AQ229" s="281"/>
    </row>
    <row r="230" spans="1:43" ht="14.25">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81"/>
      <c r="W230" s="281"/>
      <c r="X230" s="281"/>
      <c r="Y230" s="281"/>
      <c r="Z230" s="281"/>
      <c r="AA230" s="281"/>
      <c r="AB230" s="281"/>
      <c r="AC230" s="281"/>
      <c r="AD230" s="281"/>
      <c r="AE230" s="281"/>
      <c r="AF230" s="281"/>
      <c r="AG230" s="281"/>
      <c r="AH230" s="281"/>
      <c r="AI230" s="281"/>
      <c r="AJ230" s="281"/>
      <c r="AK230" s="281"/>
      <c r="AL230" s="281"/>
      <c r="AM230" s="281"/>
      <c r="AN230" s="281"/>
      <c r="AO230" s="281"/>
      <c r="AP230" s="281"/>
      <c r="AQ230" s="281"/>
    </row>
    <row r="231" spans="1:43" ht="14.25">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81"/>
      <c r="W231" s="281"/>
      <c r="X231" s="281"/>
      <c r="Y231" s="281"/>
      <c r="Z231" s="281"/>
      <c r="AA231" s="281"/>
      <c r="AB231" s="281"/>
      <c r="AC231" s="281"/>
      <c r="AD231" s="281"/>
      <c r="AE231" s="281"/>
      <c r="AF231" s="281"/>
      <c r="AG231" s="281"/>
      <c r="AH231" s="281"/>
      <c r="AI231" s="281"/>
      <c r="AJ231" s="281"/>
      <c r="AK231" s="281"/>
      <c r="AL231" s="281"/>
      <c r="AM231" s="281"/>
      <c r="AN231" s="281"/>
      <c r="AO231" s="281"/>
      <c r="AP231" s="281"/>
      <c r="AQ231" s="281"/>
    </row>
    <row r="232" spans="1:43" ht="14.25">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row>
    <row r="233" spans="1:43" ht="14.25">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81"/>
      <c r="W233" s="281"/>
      <c r="X233" s="281"/>
      <c r="Y233" s="281"/>
      <c r="Z233" s="281"/>
      <c r="AA233" s="281"/>
      <c r="AB233" s="281"/>
      <c r="AC233" s="281"/>
      <c r="AD233" s="281"/>
      <c r="AE233" s="281"/>
      <c r="AF233" s="281"/>
      <c r="AG233" s="281"/>
      <c r="AH233" s="281"/>
      <c r="AI233" s="281"/>
      <c r="AJ233" s="281"/>
      <c r="AK233" s="281"/>
      <c r="AL233" s="281"/>
      <c r="AM233" s="281"/>
      <c r="AN233" s="281"/>
      <c r="AO233" s="281"/>
      <c r="AP233" s="281"/>
      <c r="AQ233" s="281"/>
    </row>
    <row r="234" spans="1:43" ht="14.25">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81"/>
      <c r="W234" s="281"/>
      <c r="X234" s="281"/>
      <c r="Y234" s="281"/>
      <c r="Z234" s="281"/>
      <c r="AA234" s="281"/>
      <c r="AB234" s="281"/>
      <c r="AC234" s="281"/>
      <c r="AD234" s="281"/>
      <c r="AE234" s="281"/>
      <c r="AF234" s="281"/>
      <c r="AG234" s="281"/>
      <c r="AH234" s="281"/>
      <c r="AI234" s="281"/>
      <c r="AJ234" s="281"/>
      <c r="AK234" s="281"/>
      <c r="AL234" s="281"/>
      <c r="AM234" s="281"/>
      <c r="AN234" s="281"/>
      <c r="AO234" s="281"/>
      <c r="AP234" s="281"/>
      <c r="AQ234" s="281"/>
    </row>
    <row r="235" spans="1:43" ht="14.25">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81"/>
      <c r="W235" s="281"/>
      <c r="X235" s="281"/>
      <c r="Y235" s="281"/>
      <c r="Z235" s="281"/>
      <c r="AA235" s="281"/>
      <c r="AB235" s="281"/>
      <c r="AC235" s="281"/>
      <c r="AD235" s="281"/>
      <c r="AE235" s="281"/>
      <c r="AF235" s="281"/>
      <c r="AG235" s="281"/>
      <c r="AH235" s="281"/>
      <c r="AI235" s="281"/>
      <c r="AJ235" s="281"/>
      <c r="AK235" s="281"/>
      <c r="AL235" s="281"/>
      <c r="AM235" s="281"/>
      <c r="AN235" s="281"/>
      <c r="AO235" s="281"/>
      <c r="AP235" s="281"/>
      <c r="AQ235" s="281"/>
    </row>
    <row r="236" spans="1:43" ht="14.25">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81"/>
      <c r="W236" s="281"/>
      <c r="X236" s="281"/>
      <c r="Y236" s="281"/>
      <c r="Z236" s="281"/>
      <c r="AA236" s="281"/>
      <c r="AB236" s="281"/>
      <c r="AC236" s="281"/>
      <c r="AD236" s="281"/>
      <c r="AE236" s="281"/>
      <c r="AF236" s="281"/>
      <c r="AG236" s="281"/>
      <c r="AH236" s="281"/>
      <c r="AI236" s="281"/>
      <c r="AJ236" s="281"/>
      <c r="AK236" s="281"/>
      <c r="AL236" s="281"/>
      <c r="AM236" s="281"/>
      <c r="AN236" s="281"/>
      <c r="AO236" s="281"/>
      <c r="AP236" s="281"/>
      <c r="AQ236" s="281"/>
    </row>
    <row r="237" spans="1:43" ht="14.25">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81"/>
      <c r="W237" s="281"/>
      <c r="X237" s="281"/>
      <c r="Y237" s="281"/>
      <c r="Z237" s="281"/>
      <c r="AA237" s="281"/>
      <c r="AB237" s="281"/>
      <c r="AC237" s="281"/>
      <c r="AD237" s="281"/>
      <c r="AE237" s="281"/>
      <c r="AF237" s="281"/>
      <c r="AG237" s="281"/>
      <c r="AH237" s="281"/>
      <c r="AI237" s="281"/>
      <c r="AJ237" s="281"/>
      <c r="AK237" s="281"/>
      <c r="AL237" s="281"/>
      <c r="AM237" s="281"/>
      <c r="AN237" s="281"/>
      <c r="AO237" s="281"/>
      <c r="AP237" s="281"/>
      <c r="AQ237" s="281"/>
    </row>
    <row r="238" spans="1:43" ht="14.25">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81"/>
      <c r="W238" s="281"/>
      <c r="X238" s="281"/>
      <c r="Y238" s="281"/>
      <c r="Z238" s="281"/>
      <c r="AA238" s="281"/>
      <c r="AB238" s="281"/>
      <c r="AC238" s="281"/>
      <c r="AD238" s="281"/>
      <c r="AE238" s="281"/>
      <c r="AF238" s="281"/>
      <c r="AG238" s="281"/>
      <c r="AH238" s="281"/>
      <c r="AI238" s="281"/>
      <c r="AJ238" s="281"/>
      <c r="AK238" s="281"/>
      <c r="AL238" s="281"/>
      <c r="AM238" s="281"/>
      <c r="AN238" s="281"/>
      <c r="AO238" s="281"/>
      <c r="AP238" s="281"/>
      <c r="AQ238" s="281"/>
    </row>
    <row r="239" spans="1:43" ht="14.25">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81"/>
      <c r="W239" s="281"/>
      <c r="X239" s="281"/>
      <c r="Y239" s="281"/>
      <c r="Z239" s="281"/>
      <c r="AA239" s="281"/>
      <c r="AB239" s="281"/>
      <c r="AC239" s="281"/>
      <c r="AD239" s="281"/>
      <c r="AE239" s="281"/>
      <c r="AF239" s="281"/>
      <c r="AG239" s="281"/>
      <c r="AH239" s="281"/>
      <c r="AI239" s="281"/>
      <c r="AJ239" s="281"/>
      <c r="AK239" s="281"/>
      <c r="AL239" s="281"/>
      <c r="AM239" s="281"/>
      <c r="AN239" s="281"/>
      <c r="AO239" s="281"/>
      <c r="AP239" s="281"/>
      <c r="AQ239" s="281"/>
    </row>
    <row r="240" spans="1:43" ht="14.25">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81"/>
      <c r="W240" s="281"/>
      <c r="X240" s="281"/>
      <c r="Y240" s="281"/>
      <c r="Z240" s="281"/>
      <c r="AA240" s="281"/>
      <c r="AB240" s="281"/>
      <c r="AC240" s="281"/>
      <c r="AD240" s="281"/>
      <c r="AE240" s="281"/>
      <c r="AF240" s="281"/>
      <c r="AG240" s="281"/>
      <c r="AH240" s="281"/>
      <c r="AI240" s="281"/>
      <c r="AJ240" s="281"/>
      <c r="AK240" s="281"/>
      <c r="AL240" s="281"/>
      <c r="AM240" s="281"/>
      <c r="AN240" s="281"/>
      <c r="AO240" s="281"/>
      <c r="AP240" s="281"/>
      <c r="AQ240" s="281"/>
    </row>
    <row r="241" spans="1:43" ht="14.25">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81"/>
      <c r="W241" s="281"/>
      <c r="X241" s="281"/>
      <c r="Y241" s="281"/>
      <c r="Z241" s="281"/>
      <c r="AA241" s="281"/>
      <c r="AB241" s="281"/>
      <c r="AC241" s="281"/>
      <c r="AD241" s="281"/>
      <c r="AE241" s="281"/>
      <c r="AF241" s="281"/>
      <c r="AG241" s="281"/>
      <c r="AH241" s="281"/>
      <c r="AI241" s="281"/>
      <c r="AJ241" s="281"/>
      <c r="AK241" s="281"/>
      <c r="AL241" s="281"/>
      <c r="AM241" s="281"/>
      <c r="AN241" s="281"/>
      <c r="AO241" s="281"/>
      <c r="AP241" s="281"/>
      <c r="AQ241" s="281"/>
    </row>
    <row r="242" spans="1:43" ht="14.25">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81"/>
      <c r="W242" s="281"/>
      <c r="X242" s="281"/>
      <c r="Y242" s="281"/>
      <c r="Z242" s="281"/>
      <c r="AA242" s="281"/>
      <c r="AB242" s="281"/>
      <c r="AC242" s="281"/>
      <c r="AD242" s="281"/>
      <c r="AE242" s="281"/>
      <c r="AF242" s="281"/>
      <c r="AG242" s="281"/>
      <c r="AH242" s="281"/>
      <c r="AI242" s="281"/>
      <c r="AJ242" s="281"/>
      <c r="AK242" s="281"/>
      <c r="AL242" s="281"/>
      <c r="AM242" s="281"/>
      <c r="AN242" s="281"/>
      <c r="AO242" s="281"/>
      <c r="AP242" s="281"/>
      <c r="AQ242" s="281"/>
    </row>
    <row r="243" spans="1:43" ht="14.25">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81"/>
      <c r="W243" s="281"/>
      <c r="X243" s="281"/>
      <c r="Y243" s="281"/>
      <c r="Z243" s="281"/>
      <c r="AA243" s="281"/>
      <c r="AB243" s="281"/>
      <c r="AC243" s="281"/>
      <c r="AD243" s="281"/>
      <c r="AE243" s="281"/>
      <c r="AF243" s="281"/>
      <c r="AG243" s="281"/>
      <c r="AH243" s="281"/>
      <c r="AI243" s="281"/>
      <c r="AJ243" s="281"/>
      <c r="AK243" s="281"/>
      <c r="AL243" s="281"/>
      <c r="AM243" s="281"/>
      <c r="AN243" s="281"/>
      <c r="AO243" s="281"/>
      <c r="AP243" s="281"/>
      <c r="AQ243" s="281"/>
    </row>
    <row r="244" spans="1:43" ht="14.25">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81"/>
      <c r="W244" s="281"/>
      <c r="X244" s="281"/>
      <c r="Y244" s="281"/>
      <c r="Z244" s="281"/>
      <c r="AA244" s="281"/>
      <c r="AB244" s="281"/>
      <c r="AC244" s="281"/>
      <c r="AD244" s="281"/>
      <c r="AE244" s="281"/>
      <c r="AF244" s="281"/>
      <c r="AG244" s="281"/>
      <c r="AH244" s="281"/>
      <c r="AI244" s="281"/>
      <c r="AJ244" s="281"/>
      <c r="AK244" s="281"/>
      <c r="AL244" s="281"/>
      <c r="AM244" s="281"/>
      <c r="AN244" s="281"/>
      <c r="AO244" s="281"/>
      <c r="AP244" s="281"/>
      <c r="AQ244" s="281"/>
    </row>
    <row r="245" spans="1:43" ht="14.25">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81"/>
      <c r="W245" s="281"/>
      <c r="X245" s="281"/>
      <c r="Y245" s="281"/>
      <c r="Z245" s="281"/>
      <c r="AA245" s="281"/>
      <c r="AB245" s="281"/>
      <c r="AC245" s="281"/>
      <c r="AD245" s="281"/>
      <c r="AE245" s="281"/>
      <c r="AF245" s="281"/>
      <c r="AG245" s="281"/>
      <c r="AH245" s="281"/>
      <c r="AI245" s="281"/>
      <c r="AJ245" s="281"/>
      <c r="AK245" s="281"/>
      <c r="AL245" s="281"/>
      <c r="AM245" s="281"/>
      <c r="AN245" s="281"/>
      <c r="AO245" s="281"/>
      <c r="AP245" s="281"/>
      <c r="AQ245" s="281"/>
    </row>
    <row r="246" spans="1:43" ht="14.25">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81"/>
      <c r="W246" s="281"/>
      <c r="X246" s="281"/>
      <c r="Y246" s="281"/>
      <c r="Z246" s="281"/>
      <c r="AA246" s="281"/>
      <c r="AB246" s="281"/>
      <c r="AC246" s="281"/>
      <c r="AD246" s="281"/>
      <c r="AE246" s="281"/>
      <c r="AF246" s="281"/>
      <c r="AG246" s="281"/>
      <c r="AH246" s="281"/>
      <c r="AI246" s="281"/>
      <c r="AJ246" s="281"/>
      <c r="AK246" s="281"/>
      <c r="AL246" s="281"/>
      <c r="AM246" s="281"/>
      <c r="AN246" s="281"/>
      <c r="AO246" s="281"/>
      <c r="AP246" s="281"/>
      <c r="AQ246" s="281"/>
    </row>
    <row r="247" spans="1:43" ht="14.25">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81"/>
      <c r="W247" s="281"/>
      <c r="X247" s="281"/>
      <c r="Y247" s="281"/>
      <c r="Z247" s="281"/>
      <c r="AA247" s="281"/>
      <c r="AB247" s="281"/>
      <c r="AC247" s="281"/>
      <c r="AD247" s="281"/>
      <c r="AE247" s="281"/>
      <c r="AF247" s="281"/>
      <c r="AG247" s="281"/>
      <c r="AH247" s="281"/>
      <c r="AI247" s="281"/>
      <c r="AJ247" s="281"/>
      <c r="AK247" s="281"/>
      <c r="AL247" s="281"/>
      <c r="AM247" s="281"/>
      <c r="AN247" s="281"/>
      <c r="AO247" s="281"/>
      <c r="AP247" s="281"/>
      <c r="AQ247" s="281"/>
    </row>
    <row r="248" spans="1:43" ht="14.25">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81"/>
      <c r="W248" s="281"/>
      <c r="X248" s="281"/>
      <c r="Y248" s="281"/>
      <c r="Z248" s="281"/>
      <c r="AA248" s="281"/>
      <c r="AB248" s="281"/>
      <c r="AC248" s="281"/>
      <c r="AD248" s="281"/>
      <c r="AE248" s="281"/>
      <c r="AF248" s="281"/>
      <c r="AG248" s="281"/>
      <c r="AH248" s="281"/>
      <c r="AI248" s="281"/>
      <c r="AJ248" s="281"/>
      <c r="AK248" s="281"/>
      <c r="AL248" s="281"/>
      <c r="AM248" s="281"/>
      <c r="AN248" s="281"/>
      <c r="AO248" s="281"/>
      <c r="AP248" s="281"/>
      <c r="AQ248" s="281"/>
    </row>
    <row r="249" spans="1:43" ht="14.25">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81"/>
      <c r="W249" s="281"/>
      <c r="X249" s="281"/>
      <c r="Y249" s="281"/>
      <c r="Z249" s="281"/>
      <c r="AA249" s="281"/>
      <c r="AB249" s="281"/>
      <c r="AC249" s="281"/>
      <c r="AD249" s="281"/>
      <c r="AE249" s="281"/>
      <c r="AF249" s="281"/>
      <c r="AG249" s="281"/>
      <c r="AH249" s="281"/>
      <c r="AI249" s="281"/>
      <c r="AJ249" s="281"/>
      <c r="AK249" s="281"/>
      <c r="AL249" s="281"/>
      <c r="AM249" s="281"/>
      <c r="AN249" s="281"/>
      <c r="AO249" s="281"/>
      <c r="AP249" s="281"/>
      <c r="AQ249" s="281"/>
    </row>
    <row r="250" spans="1:43" ht="14.25">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row>
    <row r="251" spans="1:43" ht="14.25">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row>
    <row r="252" spans="1:43" ht="14.25">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81"/>
      <c r="W252" s="281"/>
      <c r="X252" s="281"/>
      <c r="Y252" s="281"/>
      <c r="Z252" s="281"/>
      <c r="AA252" s="281"/>
      <c r="AB252" s="281"/>
      <c r="AC252" s="281"/>
      <c r="AD252" s="281"/>
      <c r="AE252" s="281"/>
      <c r="AF252" s="281"/>
      <c r="AG252" s="281"/>
      <c r="AH252" s="281"/>
      <c r="AI252" s="281"/>
      <c r="AJ252" s="281"/>
      <c r="AK252" s="281"/>
      <c r="AL252" s="281"/>
      <c r="AM252" s="281"/>
      <c r="AN252" s="281"/>
      <c r="AO252" s="281"/>
      <c r="AP252" s="281"/>
      <c r="AQ252" s="281"/>
    </row>
    <row r="253" spans="1:43" ht="14.25">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81"/>
      <c r="W253" s="281"/>
      <c r="X253" s="281"/>
      <c r="Y253" s="281"/>
      <c r="Z253" s="281"/>
      <c r="AA253" s="281"/>
      <c r="AB253" s="281"/>
      <c r="AC253" s="281"/>
      <c r="AD253" s="281"/>
      <c r="AE253" s="281"/>
      <c r="AF253" s="281"/>
      <c r="AG253" s="281"/>
      <c r="AH253" s="281"/>
      <c r="AI253" s="281"/>
      <c r="AJ253" s="281"/>
      <c r="AK253" s="281"/>
      <c r="AL253" s="281"/>
      <c r="AM253" s="281"/>
      <c r="AN253" s="281"/>
      <c r="AO253" s="281"/>
      <c r="AP253" s="281"/>
      <c r="AQ253" s="281"/>
    </row>
    <row r="254" spans="1:43" ht="14.25">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81"/>
      <c r="W254" s="281"/>
      <c r="X254" s="281"/>
      <c r="Y254" s="281"/>
      <c r="Z254" s="281"/>
      <c r="AA254" s="281"/>
      <c r="AB254" s="281"/>
      <c r="AC254" s="281"/>
      <c r="AD254" s="281"/>
      <c r="AE254" s="281"/>
      <c r="AF254" s="281"/>
      <c r="AG254" s="281"/>
      <c r="AH254" s="281"/>
      <c r="AI254" s="281"/>
      <c r="AJ254" s="281"/>
      <c r="AK254" s="281"/>
      <c r="AL254" s="281"/>
      <c r="AM254" s="281"/>
      <c r="AN254" s="281"/>
      <c r="AO254" s="281"/>
      <c r="AP254" s="281"/>
      <c r="AQ254" s="281"/>
    </row>
    <row r="255" spans="1:43" ht="14.25">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81"/>
      <c r="W255" s="281"/>
      <c r="X255" s="281"/>
      <c r="Y255" s="281"/>
      <c r="Z255" s="281"/>
      <c r="AA255" s="281"/>
      <c r="AB255" s="281"/>
      <c r="AC255" s="281"/>
      <c r="AD255" s="281"/>
      <c r="AE255" s="281"/>
      <c r="AF255" s="281"/>
      <c r="AG255" s="281"/>
      <c r="AH255" s="281"/>
      <c r="AI255" s="281"/>
      <c r="AJ255" s="281"/>
      <c r="AK255" s="281"/>
      <c r="AL255" s="281"/>
      <c r="AM255" s="281"/>
      <c r="AN255" s="281"/>
      <c r="AO255" s="281"/>
      <c r="AP255" s="281"/>
      <c r="AQ255" s="281"/>
    </row>
    <row r="256" spans="1:43" ht="14.25">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81"/>
      <c r="W256" s="281"/>
      <c r="X256" s="281"/>
      <c r="Y256" s="281"/>
      <c r="Z256" s="281"/>
      <c r="AA256" s="281"/>
      <c r="AB256" s="281"/>
      <c r="AC256" s="281"/>
      <c r="AD256" s="281"/>
      <c r="AE256" s="281"/>
      <c r="AF256" s="281"/>
      <c r="AG256" s="281"/>
      <c r="AH256" s="281"/>
      <c r="AI256" s="281"/>
      <c r="AJ256" s="281"/>
      <c r="AK256" s="281"/>
      <c r="AL256" s="281"/>
      <c r="AM256" s="281"/>
      <c r="AN256" s="281"/>
      <c r="AO256" s="281"/>
      <c r="AP256" s="281"/>
      <c r="AQ256" s="281"/>
    </row>
    <row r="257" spans="1:43" ht="14.25">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81"/>
      <c r="W257" s="281"/>
      <c r="X257" s="281"/>
      <c r="Y257" s="281"/>
      <c r="Z257" s="281"/>
      <c r="AA257" s="281"/>
      <c r="AB257" s="281"/>
      <c r="AC257" s="281"/>
      <c r="AD257" s="281"/>
      <c r="AE257" s="281"/>
      <c r="AF257" s="281"/>
      <c r="AG257" s="281"/>
      <c r="AH257" s="281"/>
      <c r="AI257" s="281"/>
      <c r="AJ257" s="281"/>
      <c r="AK257" s="281"/>
      <c r="AL257" s="281"/>
      <c r="AM257" s="281"/>
      <c r="AN257" s="281"/>
      <c r="AO257" s="281"/>
      <c r="AP257" s="281"/>
      <c r="AQ257" s="281"/>
    </row>
    <row r="258" spans="1:43" ht="14.25">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81"/>
      <c r="W258" s="281"/>
      <c r="X258" s="281"/>
      <c r="Y258" s="281"/>
      <c r="Z258" s="281"/>
      <c r="AA258" s="281"/>
      <c r="AB258" s="281"/>
      <c r="AC258" s="281"/>
      <c r="AD258" s="281"/>
      <c r="AE258" s="281"/>
      <c r="AF258" s="281"/>
      <c r="AG258" s="281"/>
      <c r="AH258" s="281"/>
      <c r="AI258" s="281"/>
      <c r="AJ258" s="281"/>
      <c r="AK258" s="281"/>
      <c r="AL258" s="281"/>
      <c r="AM258" s="281"/>
      <c r="AN258" s="281"/>
      <c r="AO258" s="281"/>
      <c r="AP258" s="281"/>
      <c r="AQ258" s="281"/>
    </row>
    <row r="259" spans="1:43" ht="14.25">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81"/>
      <c r="W259" s="281"/>
      <c r="X259" s="281"/>
      <c r="Y259" s="281"/>
      <c r="Z259" s="281"/>
      <c r="AA259" s="281"/>
      <c r="AB259" s="281"/>
      <c r="AC259" s="281"/>
      <c r="AD259" s="281"/>
      <c r="AE259" s="281"/>
      <c r="AF259" s="281"/>
      <c r="AG259" s="281"/>
      <c r="AH259" s="281"/>
      <c r="AI259" s="281"/>
      <c r="AJ259" s="281"/>
      <c r="AK259" s="281"/>
      <c r="AL259" s="281"/>
      <c r="AM259" s="281"/>
      <c r="AN259" s="281"/>
      <c r="AO259" s="281"/>
      <c r="AP259" s="281"/>
      <c r="AQ259" s="281"/>
    </row>
    <row r="260" spans="1:43" ht="14.25">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81"/>
      <c r="W260" s="281"/>
      <c r="X260" s="281"/>
      <c r="Y260" s="281"/>
      <c r="Z260" s="281"/>
      <c r="AA260" s="281"/>
      <c r="AB260" s="281"/>
      <c r="AC260" s="281"/>
      <c r="AD260" s="281"/>
      <c r="AE260" s="281"/>
      <c r="AF260" s="281"/>
      <c r="AG260" s="281"/>
      <c r="AH260" s="281"/>
      <c r="AI260" s="281"/>
      <c r="AJ260" s="281"/>
      <c r="AK260" s="281"/>
      <c r="AL260" s="281"/>
      <c r="AM260" s="281"/>
      <c r="AN260" s="281"/>
      <c r="AO260" s="281"/>
      <c r="AP260" s="281"/>
      <c r="AQ260" s="281"/>
    </row>
    <row r="261" spans="1:43" ht="14.25">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81"/>
      <c r="W261" s="281"/>
      <c r="X261" s="281"/>
      <c r="Y261" s="281"/>
      <c r="Z261" s="281"/>
      <c r="AA261" s="281"/>
      <c r="AB261" s="281"/>
      <c r="AC261" s="281"/>
      <c r="AD261" s="281"/>
      <c r="AE261" s="281"/>
      <c r="AF261" s="281"/>
      <c r="AG261" s="281"/>
      <c r="AH261" s="281"/>
      <c r="AI261" s="281"/>
      <c r="AJ261" s="281"/>
      <c r="AK261" s="281"/>
      <c r="AL261" s="281"/>
      <c r="AM261" s="281"/>
      <c r="AN261" s="281"/>
      <c r="AO261" s="281"/>
      <c r="AP261" s="281"/>
      <c r="AQ261" s="281"/>
    </row>
    <row r="262" spans="1:43" ht="14.25">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81"/>
      <c r="W262" s="281"/>
      <c r="X262" s="281"/>
      <c r="Y262" s="281"/>
      <c r="Z262" s="281"/>
      <c r="AA262" s="281"/>
      <c r="AB262" s="281"/>
      <c r="AC262" s="281"/>
      <c r="AD262" s="281"/>
      <c r="AE262" s="281"/>
      <c r="AF262" s="281"/>
      <c r="AG262" s="281"/>
      <c r="AH262" s="281"/>
      <c r="AI262" s="281"/>
      <c r="AJ262" s="281"/>
      <c r="AK262" s="281"/>
      <c r="AL262" s="281"/>
      <c r="AM262" s="281"/>
      <c r="AN262" s="281"/>
      <c r="AO262" s="281"/>
      <c r="AP262" s="281"/>
      <c r="AQ262" s="281"/>
    </row>
    <row r="263" spans="1:43" ht="14.25">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81"/>
      <c r="W263" s="281"/>
      <c r="X263" s="281"/>
      <c r="Y263" s="281"/>
      <c r="Z263" s="281"/>
      <c r="AA263" s="281"/>
      <c r="AB263" s="281"/>
      <c r="AC263" s="281"/>
      <c r="AD263" s="281"/>
      <c r="AE263" s="281"/>
      <c r="AF263" s="281"/>
      <c r="AG263" s="281"/>
      <c r="AH263" s="281"/>
      <c r="AI263" s="281"/>
      <c r="AJ263" s="281"/>
      <c r="AK263" s="281"/>
      <c r="AL263" s="281"/>
      <c r="AM263" s="281"/>
      <c r="AN263" s="281"/>
      <c r="AO263" s="281"/>
      <c r="AP263" s="281"/>
      <c r="AQ263" s="281"/>
    </row>
    <row r="264" spans="1:43" ht="14.25">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81"/>
      <c r="W264" s="281"/>
      <c r="X264" s="281"/>
      <c r="Y264" s="281"/>
      <c r="Z264" s="281"/>
      <c r="AA264" s="281"/>
      <c r="AB264" s="281"/>
      <c r="AC264" s="281"/>
      <c r="AD264" s="281"/>
      <c r="AE264" s="281"/>
      <c r="AF264" s="281"/>
      <c r="AG264" s="281"/>
      <c r="AH264" s="281"/>
      <c r="AI264" s="281"/>
      <c r="AJ264" s="281"/>
      <c r="AK264" s="281"/>
      <c r="AL264" s="281"/>
      <c r="AM264" s="281"/>
      <c r="AN264" s="281"/>
      <c r="AO264" s="281"/>
      <c r="AP264" s="281"/>
      <c r="AQ264" s="281"/>
    </row>
    <row r="265" spans="1:43" ht="14.25">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81"/>
      <c r="W265" s="281"/>
      <c r="X265" s="281"/>
      <c r="Y265" s="281"/>
      <c r="Z265" s="281"/>
      <c r="AA265" s="281"/>
      <c r="AB265" s="281"/>
      <c r="AC265" s="281"/>
      <c r="AD265" s="281"/>
      <c r="AE265" s="281"/>
      <c r="AF265" s="281"/>
      <c r="AG265" s="281"/>
      <c r="AH265" s="281"/>
      <c r="AI265" s="281"/>
      <c r="AJ265" s="281"/>
      <c r="AK265" s="281"/>
      <c r="AL265" s="281"/>
      <c r="AM265" s="281"/>
      <c r="AN265" s="281"/>
      <c r="AO265" s="281"/>
      <c r="AP265" s="281"/>
      <c r="AQ265" s="281"/>
    </row>
    <row r="266" spans="1:43" ht="14.25">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81"/>
      <c r="W266" s="281"/>
      <c r="X266" s="281"/>
      <c r="Y266" s="281"/>
      <c r="Z266" s="281"/>
      <c r="AA266" s="281"/>
      <c r="AB266" s="281"/>
      <c r="AC266" s="281"/>
      <c r="AD266" s="281"/>
      <c r="AE266" s="281"/>
      <c r="AF266" s="281"/>
      <c r="AG266" s="281"/>
      <c r="AH266" s="281"/>
      <c r="AI266" s="281"/>
      <c r="AJ266" s="281"/>
      <c r="AK266" s="281"/>
      <c r="AL266" s="281"/>
      <c r="AM266" s="281"/>
      <c r="AN266" s="281"/>
      <c r="AO266" s="281"/>
      <c r="AP266" s="281"/>
      <c r="AQ266" s="281"/>
    </row>
    <row r="267" spans="1:43" ht="14.25">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81"/>
      <c r="W267" s="281"/>
      <c r="X267" s="281"/>
      <c r="Y267" s="281"/>
      <c r="Z267" s="281"/>
      <c r="AA267" s="281"/>
      <c r="AB267" s="281"/>
      <c r="AC267" s="281"/>
      <c r="AD267" s="281"/>
      <c r="AE267" s="281"/>
      <c r="AF267" s="281"/>
      <c r="AG267" s="281"/>
      <c r="AH267" s="281"/>
      <c r="AI267" s="281"/>
      <c r="AJ267" s="281"/>
      <c r="AK267" s="281"/>
      <c r="AL267" s="281"/>
      <c r="AM267" s="281"/>
      <c r="AN267" s="281"/>
      <c r="AO267" s="281"/>
      <c r="AP267" s="281"/>
      <c r="AQ267" s="281"/>
    </row>
    <row r="268" spans="1:43" ht="14.25">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81"/>
      <c r="W268" s="281"/>
      <c r="X268" s="281"/>
      <c r="Y268" s="281"/>
      <c r="Z268" s="281"/>
      <c r="AA268" s="281"/>
      <c r="AB268" s="281"/>
      <c r="AC268" s="281"/>
      <c r="AD268" s="281"/>
      <c r="AE268" s="281"/>
      <c r="AF268" s="281"/>
      <c r="AG268" s="281"/>
      <c r="AH268" s="281"/>
      <c r="AI268" s="281"/>
      <c r="AJ268" s="281"/>
      <c r="AK268" s="281"/>
      <c r="AL268" s="281"/>
      <c r="AM268" s="281"/>
      <c r="AN268" s="281"/>
      <c r="AO268" s="281"/>
      <c r="AP268" s="281"/>
      <c r="AQ268" s="281"/>
    </row>
    <row r="269" spans="1:43" ht="14.25">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row>
    <row r="270" spans="1:43" ht="14.25">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81"/>
      <c r="W270" s="281"/>
      <c r="X270" s="281"/>
      <c r="Y270" s="281"/>
      <c r="Z270" s="281"/>
      <c r="AA270" s="281"/>
      <c r="AB270" s="281"/>
      <c r="AC270" s="281"/>
      <c r="AD270" s="281"/>
      <c r="AE270" s="281"/>
      <c r="AF270" s="281"/>
      <c r="AG270" s="281"/>
      <c r="AH270" s="281"/>
      <c r="AI270" s="281"/>
      <c r="AJ270" s="281"/>
      <c r="AK270" s="281"/>
      <c r="AL270" s="281"/>
      <c r="AM270" s="281"/>
      <c r="AN270" s="281"/>
      <c r="AO270" s="281"/>
      <c r="AP270" s="281"/>
      <c r="AQ270" s="281"/>
    </row>
    <row r="271" spans="1:43" ht="14.25">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81"/>
      <c r="W271" s="281"/>
      <c r="X271" s="281"/>
      <c r="Y271" s="281"/>
      <c r="Z271" s="281"/>
      <c r="AA271" s="281"/>
      <c r="AB271" s="281"/>
      <c r="AC271" s="281"/>
      <c r="AD271" s="281"/>
      <c r="AE271" s="281"/>
      <c r="AF271" s="281"/>
      <c r="AG271" s="281"/>
      <c r="AH271" s="281"/>
      <c r="AI271" s="281"/>
      <c r="AJ271" s="281"/>
      <c r="AK271" s="281"/>
      <c r="AL271" s="281"/>
      <c r="AM271" s="281"/>
      <c r="AN271" s="281"/>
      <c r="AO271" s="281"/>
      <c r="AP271" s="281"/>
      <c r="AQ271" s="281"/>
    </row>
    <row r="272" spans="1:43" ht="14.25">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81"/>
      <c r="W272" s="281"/>
      <c r="X272" s="281"/>
      <c r="Y272" s="281"/>
      <c r="Z272" s="281"/>
      <c r="AA272" s="281"/>
      <c r="AB272" s="281"/>
      <c r="AC272" s="281"/>
      <c r="AD272" s="281"/>
      <c r="AE272" s="281"/>
      <c r="AF272" s="281"/>
      <c r="AG272" s="281"/>
      <c r="AH272" s="281"/>
      <c r="AI272" s="281"/>
      <c r="AJ272" s="281"/>
      <c r="AK272" s="281"/>
      <c r="AL272" s="281"/>
      <c r="AM272" s="281"/>
      <c r="AN272" s="281"/>
      <c r="AO272" s="281"/>
      <c r="AP272" s="281"/>
      <c r="AQ272" s="281"/>
    </row>
    <row r="273" spans="1:43" ht="14.25">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81"/>
      <c r="W273" s="281"/>
      <c r="X273" s="281"/>
      <c r="Y273" s="281"/>
      <c r="Z273" s="281"/>
      <c r="AA273" s="281"/>
      <c r="AB273" s="281"/>
      <c r="AC273" s="281"/>
      <c r="AD273" s="281"/>
      <c r="AE273" s="281"/>
      <c r="AF273" s="281"/>
      <c r="AG273" s="281"/>
      <c r="AH273" s="281"/>
      <c r="AI273" s="281"/>
      <c r="AJ273" s="281"/>
      <c r="AK273" s="281"/>
      <c r="AL273" s="281"/>
      <c r="AM273" s="281"/>
      <c r="AN273" s="281"/>
      <c r="AO273" s="281"/>
      <c r="AP273" s="281"/>
      <c r="AQ273" s="281"/>
    </row>
    <row r="274" spans="1:43" ht="14.25">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81"/>
      <c r="W274" s="281"/>
      <c r="X274" s="281"/>
      <c r="Y274" s="281"/>
      <c r="Z274" s="281"/>
      <c r="AA274" s="281"/>
      <c r="AB274" s="281"/>
      <c r="AC274" s="281"/>
      <c r="AD274" s="281"/>
      <c r="AE274" s="281"/>
      <c r="AF274" s="281"/>
      <c r="AG274" s="281"/>
      <c r="AH274" s="281"/>
      <c r="AI274" s="281"/>
      <c r="AJ274" s="281"/>
      <c r="AK274" s="281"/>
      <c r="AL274" s="281"/>
      <c r="AM274" s="281"/>
      <c r="AN274" s="281"/>
      <c r="AO274" s="281"/>
      <c r="AP274" s="281"/>
      <c r="AQ274" s="281"/>
    </row>
    <row r="275" spans="1:43" ht="14.25">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81"/>
      <c r="W275" s="281"/>
      <c r="X275" s="281"/>
      <c r="Y275" s="281"/>
      <c r="Z275" s="281"/>
      <c r="AA275" s="281"/>
      <c r="AB275" s="281"/>
      <c r="AC275" s="281"/>
      <c r="AD275" s="281"/>
      <c r="AE275" s="281"/>
      <c r="AF275" s="281"/>
      <c r="AG275" s="281"/>
      <c r="AH275" s="281"/>
      <c r="AI275" s="281"/>
      <c r="AJ275" s="281"/>
      <c r="AK275" s="281"/>
      <c r="AL275" s="281"/>
      <c r="AM275" s="281"/>
      <c r="AN275" s="281"/>
      <c r="AO275" s="281"/>
      <c r="AP275" s="281"/>
      <c r="AQ275" s="281"/>
    </row>
    <row r="276" spans="1:43" ht="14.25">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81"/>
      <c r="W276" s="281"/>
      <c r="X276" s="281"/>
      <c r="Y276" s="281"/>
      <c r="Z276" s="281"/>
      <c r="AA276" s="281"/>
      <c r="AB276" s="281"/>
      <c r="AC276" s="281"/>
      <c r="AD276" s="281"/>
      <c r="AE276" s="281"/>
      <c r="AF276" s="281"/>
      <c r="AG276" s="281"/>
      <c r="AH276" s="281"/>
      <c r="AI276" s="281"/>
      <c r="AJ276" s="281"/>
      <c r="AK276" s="281"/>
      <c r="AL276" s="281"/>
      <c r="AM276" s="281"/>
      <c r="AN276" s="281"/>
      <c r="AO276" s="281"/>
      <c r="AP276" s="281"/>
      <c r="AQ276" s="281"/>
    </row>
    <row r="277" spans="1:43" ht="14.25">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81"/>
      <c r="W277" s="281"/>
      <c r="X277" s="281"/>
      <c r="Y277" s="281"/>
      <c r="Z277" s="281"/>
      <c r="AA277" s="281"/>
      <c r="AB277" s="281"/>
      <c r="AC277" s="281"/>
      <c r="AD277" s="281"/>
      <c r="AE277" s="281"/>
      <c r="AF277" s="281"/>
      <c r="AG277" s="281"/>
      <c r="AH277" s="281"/>
      <c r="AI277" s="281"/>
      <c r="AJ277" s="281"/>
      <c r="AK277" s="281"/>
      <c r="AL277" s="281"/>
      <c r="AM277" s="281"/>
      <c r="AN277" s="281"/>
      <c r="AO277" s="281"/>
      <c r="AP277" s="281"/>
      <c r="AQ277" s="281"/>
    </row>
    <row r="278" spans="1:43" ht="14.25">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81"/>
      <c r="W278" s="281"/>
      <c r="X278" s="281"/>
      <c r="Y278" s="281"/>
      <c r="Z278" s="281"/>
      <c r="AA278" s="281"/>
      <c r="AB278" s="281"/>
      <c r="AC278" s="281"/>
      <c r="AD278" s="281"/>
      <c r="AE278" s="281"/>
      <c r="AF278" s="281"/>
      <c r="AG278" s="281"/>
      <c r="AH278" s="281"/>
      <c r="AI278" s="281"/>
      <c r="AJ278" s="281"/>
      <c r="AK278" s="281"/>
      <c r="AL278" s="281"/>
      <c r="AM278" s="281"/>
      <c r="AN278" s="281"/>
      <c r="AO278" s="281"/>
      <c r="AP278" s="281"/>
      <c r="AQ278" s="281"/>
    </row>
    <row r="279" spans="1:43" ht="14.25">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81"/>
      <c r="W279" s="281"/>
      <c r="X279" s="281"/>
      <c r="Y279" s="281"/>
      <c r="Z279" s="281"/>
      <c r="AA279" s="281"/>
      <c r="AB279" s="281"/>
      <c r="AC279" s="281"/>
      <c r="AD279" s="281"/>
      <c r="AE279" s="281"/>
      <c r="AF279" s="281"/>
      <c r="AG279" s="281"/>
      <c r="AH279" s="281"/>
      <c r="AI279" s="281"/>
      <c r="AJ279" s="281"/>
      <c r="AK279" s="281"/>
      <c r="AL279" s="281"/>
      <c r="AM279" s="281"/>
      <c r="AN279" s="281"/>
      <c r="AO279" s="281"/>
      <c r="AP279" s="281"/>
      <c r="AQ279" s="281"/>
    </row>
    <row r="280" spans="1:43" ht="14.25">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81"/>
      <c r="W280" s="281"/>
      <c r="X280" s="281"/>
      <c r="Y280" s="281"/>
      <c r="Z280" s="281"/>
      <c r="AA280" s="281"/>
      <c r="AB280" s="281"/>
      <c r="AC280" s="281"/>
      <c r="AD280" s="281"/>
      <c r="AE280" s="281"/>
      <c r="AF280" s="281"/>
      <c r="AG280" s="281"/>
      <c r="AH280" s="281"/>
      <c r="AI280" s="281"/>
      <c r="AJ280" s="281"/>
      <c r="AK280" s="281"/>
      <c r="AL280" s="281"/>
      <c r="AM280" s="281"/>
      <c r="AN280" s="281"/>
      <c r="AO280" s="281"/>
      <c r="AP280" s="281"/>
      <c r="AQ280" s="281"/>
    </row>
    <row r="281" spans="1:43" ht="14.25">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81"/>
      <c r="W281" s="281"/>
      <c r="X281" s="281"/>
      <c r="Y281" s="281"/>
      <c r="Z281" s="281"/>
      <c r="AA281" s="281"/>
      <c r="AB281" s="281"/>
      <c r="AC281" s="281"/>
      <c r="AD281" s="281"/>
      <c r="AE281" s="281"/>
      <c r="AF281" s="281"/>
      <c r="AG281" s="281"/>
      <c r="AH281" s="281"/>
      <c r="AI281" s="281"/>
      <c r="AJ281" s="281"/>
      <c r="AK281" s="281"/>
      <c r="AL281" s="281"/>
      <c r="AM281" s="281"/>
      <c r="AN281" s="281"/>
      <c r="AO281" s="281"/>
      <c r="AP281" s="281"/>
      <c r="AQ281" s="281"/>
    </row>
    <row r="282" spans="1:43" ht="14.25">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81"/>
      <c r="W282" s="281"/>
      <c r="X282" s="281"/>
      <c r="Y282" s="281"/>
      <c r="Z282" s="281"/>
      <c r="AA282" s="281"/>
      <c r="AB282" s="281"/>
      <c r="AC282" s="281"/>
      <c r="AD282" s="281"/>
      <c r="AE282" s="281"/>
      <c r="AF282" s="281"/>
      <c r="AG282" s="281"/>
      <c r="AH282" s="281"/>
      <c r="AI282" s="281"/>
      <c r="AJ282" s="281"/>
      <c r="AK282" s="281"/>
      <c r="AL282" s="281"/>
      <c r="AM282" s="281"/>
      <c r="AN282" s="281"/>
      <c r="AO282" s="281"/>
      <c r="AP282" s="281"/>
      <c r="AQ282" s="281"/>
    </row>
    <row r="283" spans="1:43" ht="14.25">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81"/>
      <c r="W283" s="281"/>
      <c r="X283" s="281"/>
      <c r="Y283" s="281"/>
      <c r="Z283" s="281"/>
      <c r="AA283" s="281"/>
      <c r="AB283" s="281"/>
      <c r="AC283" s="281"/>
      <c r="AD283" s="281"/>
      <c r="AE283" s="281"/>
      <c r="AF283" s="281"/>
      <c r="AG283" s="281"/>
      <c r="AH283" s="281"/>
      <c r="AI283" s="281"/>
      <c r="AJ283" s="281"/>
      <c r="AK283" s="281"/>
      <c r="AL283" s="281"/>
      <c r="AM283" s="281"/>
      <c r="AN283" s="281"/>
      <c r="AO283" s="281"/>
      <c r="AP283" s="281"/>
      <c r="AQ283" s="281"/>
    </row>
    <row r="284" spans="1:43" ht="14.25">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81"/>
      <c r="W284" s="281"/>
      <c r="X284" s="281"/>
      <c r="Y284" s="281"/>
      <c r="Z284" s="281"/>
      <c r="AA284" s="281"/>
      <c r="AB284" s="281"/>
      <c r="AC284" s="281"/>
      <c r="AD284" s="281"/>
      <c r="AE284" s="281"/>
      <c r="AF284" s="281"/>
      <c r="AG284" s="281"/>
      <c r="AH284" s="281"/>
      <c r="AI284" s="281"/>
      <c r="AJ284" s="281"/>
      <c r="AK284" s="281"/>
      <c r="AL284" s="281"/>
      <c r="AM284" s="281"/>
      <c r="AN284" s="281"/>
      <c r="AO284" s="281"/>
      <c r="AP284" s="281"/>
      <c r="AQ284" s="281"/>
    </row>
    <row r="285" spans="1:43" ht="14.25">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81"/>
      <c r="W285" s="281"/>
      <c r="X285" s="281"/>
      <c r="Y285" s="281"/>
      <c r="Z285" s="281"/>
      <c r="AA285" s="281"/>
      <c r="AB285" s="281"/>
      <c r="AC285" s="281"/>
      <c r="AD285" s="281"/>
      <c r="AE285" s="281"/>
      <c r="AF285" s="281"/>
      <c r="AG285" s="281"/>
      <c r="AH285" s="281"/>
      <c r="AI285" s="281"/>
      <c r="AJ285" s="281"/>
      <c r="AK285" s="281"/>
      <c r="AL285" s="281"/>
      <c r="AM285" s="281"/>
      <c r="AN285" s="281"/>
      <c r="AO285" s="281"/>
      <c r="AP285" s="281"/>
      <c r="AQ285" s="281"/>
    </row>
    <row r="286" spans="1:43" ht="14.25">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81"/>
      <c r="W286" s="281"/>
      <c r="X286" s="281"/>
      <c r="Y286" s="281"/>
      <c r="Z286" s="281"/>
      <c r="AA286" s="281"/>
      <c r="AB286" s="281"/>
      <c r="AC286" s="281"/>
      <c r="AD286" s="281"/>
      <c r="AE286" s="281"/>
      <c r="AF286" s="281"/>
      <c r="AG286" s="281"/>
      <c r="AH286" s="281"/>
      <c r="AI286" s="281"/>
      <c r="AJ286" s="281"/>
      <c r="AK286" s="281"/>
      <c r="AL286" s="281"/>
      <c r="AM286" s="281"/>
      <c r="AN286" s="281"/>
      <c r="AO286" s="281"/>
      <c r="AP286" s="281"/>
      <c r="AQ286" s="281"/>
    </row>
    <row r="287" spans="1:43" ht="14.25">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81"/>
      <c r="W287" s="281"/>
      <c r="X287" s="281"/>
      <c r="Y287" s="281"/>
      <c r="Z287" s="281"/>
      <c r="AA287" s="281"/>
      <c r="AB287" s="281"/>
      <c r="AC287" s="281"/>
      <c r="AD287" s="281"/>
      <c r="AE287" s="281"/>
      <c r="AF287" s="281"/>
      <c r="AG287" s="281"/>
      <c r="AH287" s="281"/>
      <c r="AI287" s="281"/>
      <c r="AJ287" s="281"/>
      <c r="AK287" s="281"/>
      <c r="AL287" s="281"/>
      <c r="AM287" s="281"/>
      <c r="AN287" s="281"/>
      <c r="AO287" s="281"/>
      <c r="AP287" s="281"/>
      <c r="AQ287" s="281"/>
    </row>
    <row r="288" spans="1:43" ht="14.25">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81"/>
      <c r="W288" s="281"/>
      <c r="X288" s="281"/>
      <c r="Y288" s="281"/>
      <c r="Z288" s="281"/>
      <c r="AA288" s="281"/>
      <c r="AB288" s="281"/>
      <c r="AC288" s="281"/>
      <c r="AD288" s="281"/>
      <c r="AE288" s="281"/>
      <c r="AF288" s="281"/>
      <c r="AG288" s="281"/>
      <c r="AH288" s="281"/>
      <c r="AI288" s="281"/>
      <c r="AJ288" s="281"/>
      <c r="AK288" s="281"/>
      <c r="AL288" s="281"/>
      <c r="AM288" s="281"/>
      <c r="AN288" s="281"/>
      <c r="AO288" s="281"/>
      <c r="AP288" s="281"/>
      <c r="AQ288" s="281"/>
    </row>
    <row r="289" spans="1:43" ht="14.25">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81"/>
      <c r="W289" s="281"/>
      <c r="X289" s="281"/>
      <c r="Y289" s="281"/>
      <c r="Z289" s="281"/>
      <c r="AA289" s="281"/>
      <c r="AB289" s="281"/>
      <c r="AC289" s="281"/>
      <c r="AD289" s="281"/>
      <c r="AE289" s="281"/>
      <c r="AF289" s="281"/>
      <c r="AG289" s="281"/>
      <c r="AH289" s="281"/>
      <c r="AI289" s="281"/>
      <c r="AJ289" s="281"/>
      <c r="AK289" s="281"/>
      <c r="AL289" s="281"/>
      <c r="AM289" s="281"/>
      <c r="AN289" s="281"/>
      <c r="AO289" s="281"/>
      <c r="AP289" s="281"/>
      <c r="AQ289" s="281"/>
    </row>
    <row r="290" spans="1:43" ht="14.25">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row>
    <row r="291" spans="1:43" ht="14.25">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81"/>
      <c r="W291" s="281"/>
      <c r="X291" s="281"/>
      <c r="Y291" s="281"/>
      <c r="Z291" s="281"/>
      <c r="AA291" s="281"/>
      <c r="AB291" s="281"/>
      <c r="AC291" s="281"/>
      <c r="AD291" s="281"/>
      <c r="AE291" s="281"/>
      <c r="AF291" s="281"/>
      <c r="AG291" s="281"/>
      <c r="AH291" s="281"/>
      <c r="AI291" s="281"/>
      <c r="AJ291" s="281"/>
      <c r="AK291" s="281"/>
      <c r="AL291" s="281"/>
      <c r="AM291" s="281"/>
      <c r="AN291" s="281"/>
      <c r="AO291" s="281"/>
      <c r="AP291" s="281"/>
      <c r="AQ291" s="281"/>
    </row>
    <row r="292" spans="1:43" ht="14.25">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81"/>
      <c r="W292" s="281"/>
      <c r="X292" s="281"/>
      <c r="Y292" s="281"/>
      <c r="Z292" s="281"/>
      <c r="AA292" s="281"/>
      <c r="AB292" s="281"/>
      <c r="AC292" s="281"/>
      <c r="AD292" s="281"/>
      <c r="AE292" s="281"/>
      <c r="AF292" s="281"/>
      <c r="AG292" s="281"/>
      <c r="AH292" s="281"/>
      <c r="AI292" s="281"/>
      <c r="AJ292" s="281"/>
      <c r="AK292" s="281"/>
      <c r="AL292" s="281"/>
      <c r="AM292" s="281"/>
      <c r="AN292" s="281"/>
      <c r="AO292" s="281"/>
      <c r="AP292" s="281"/>
      <c r="AQ292" s="281"/>
    </row>
    <row r="293" spans="1:43" ht="14.25">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81"/>
      <c r="W293" s="281"/>
      <c r="X293" s="281"/>
      <c r="Y293" s="281"/>
      <c r="Z293" s="281"/>
      <c r="AA293" s="281"/>
      <c r="AB293" s="281"/>
      <c r="AC293" s="281"/>
      <c r="AD293" s="281"/>
      <c r="AE293" s="281"/>
      <c r="AF293" s="281"/>
      <c r="AG293" s="281"/>
      <c r="AH293" s="281"/>
      <c r="AI293" s="281"/>
      <c r="AJ293" s="281"/>
      <c r="AK293" s="281"/>
      <c r="AL293" s="281"/>
      <c r="AM293" s="281"/>
      <c r="AN293" s="281"/>
      <c r="AO293" s="281"/>
      <c r="AP293" s="281"/>
      <c r="AQ293" s="281"/>
    </row>
    <row r="294" spans="1:43" ht="14.25">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81"/>
      <c r="W294" s="281"/>
      <c r="X294" s="281"/>
      <c r="Y294" s="281"/>
      <c r="Z294" s="281"/>
      <c r="AA294" s="281"/>
      <c r="AB294" s="281"/>
      <c r="AC294" s="281"/>
      <c r="AD294" s="281"/>
      <c r="AE294" s="281"/>
      <c r="AF294" s="281"/>
      <c r="AG294" s="281"/>
      <c r="AH294" s="281"/>
      <c r="AI294" s="281"/>
      <c r="AJ294" s="281"/>
      <c r="AK294" s="281"/>
      <c r="AL294" s="281"/>
      <c r="AM294" s="281"/>
      <c r="AN294" s="281"/>
      <c r="AO294" s="281"/>
      <c r="AP294" s="281"/>
      <c r="AQ294" s="281"/>
    </row>
    <row r="295" spans="1:43" ht="14.25">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81"/>
      <c r="W295" s="281"/>
      <c r="X295" s="281"/>
      <c r="Y295" s="281"/>
      <c r="Z295" s="281"/>
      <c r="AA295" s="281"/>
      <c r="AB295" s="281"/>
      <c r="AC295" s="281"/>
      <c r="AD295" s="281"/>
      <c r="AE295" s="281"/>
      <c r="AF295" s="281"/>
      <c r="AG295" s="281"/>
      <c r="AH295" s="281"/>
      <c r="AI295" s="281"/>
      <c r="AJ295" s="281"/>
      <c r="AK295" s="281"/>
      <c r="AL295" s="281"/>
      <c r="AM295" s="281"/>
      <c r="AN295" s="281"/>
      <c r="AO295" s="281"/>
      <c r="AP295" s="281"/>
      <c r="AQ295" s="281"/>
    </row>
    <row r="296" spans="1:43" ht="14.25">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81"/>
      <c r="W296" s="281"/>
      <c r="X296" s="281"/>
      <c r="Y296" s="281"/>
      <c r="Z296" s="281"/>
      <c r="AA296" s="281"/>
      <c r="AB296" s="281"/>
      <c r="AC296" s="281"/>
      <c r="AD296" s="281"/>
      <c r="AE296" s="281"/>
      <c r="AF296" s="281"/>
      <c r="AG296" s="281"/>
      <c r="AH296" s="281"/>
      <c r="AI296" s="281"/>
      <c r="AJ296" s="281"/>
      <c r="AK296" s="281"/>
      <c r="AL296" s="281"/>
      <c r="AM296" s="281"/>
      <c r="AN296" s="281"/>
      <c r="AO296" s="281"/>
      <c r="AP296" s="281"/>
      <c r="AQ296" s="281"/>
    </row>
    <row r="297" spans="1:43" ht="14.25">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81"/>
      <c r="W297" s="281"/>
      <c r="X297" s="281"/>
      <c r="Y297" s="281"/>
      <c r="Z297" s="281"/>
      <c r="AA297" s="281"/>
      <c r="AB297" s="281"/>
      <c r="AC297" s="281"/>
      <c r="AD297" s="281"/>
      <c r="AE297" s="281"/>
      <c r="AF297" s="281"/>
      <c r="AG297" s="281"/>
      <c r="AH297" s="281"/>
      <c r="AI297" s="281"/>
      <c r="AJ297" s="281"/>
      <c r="AK297" s="281"/>
      <c r="AL297" s="281"/>
      <c r="AM297" s="281"/>
      <c r="AN297" s="281"/>
      <c r="AO297" s="281"/>
      <c r="AP297" s="281"/>
      <c r="AQ297" s="281"/>
    </row>
    <row r="298" spans="1:43" ht="14.25">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81"/>
      <c r="W298" s="281"/>
      <c r="X298" s="281"/>
      <c r="Y298" s="281"/>
      <c r="Z298" s="281"/>
      <c r="AA298" s="281"/>
      <c r="AB298" s="281"/>
      <c r="AC298" s="281"/>
      <c r="AD298" s="281"/>
      <c r="AE298" s="281"/>
      <c r="AF298" s="281"/>
      <c r="AG298" s="281"/>
      <c r="AH298" s="281"/>
      <c r="AI298" s="281"/>
      <c r="AJ298" s="281"/>
      <c r="AK298" s="281"/>
      <c r="AL298" s="281"/>
      <c r="AM298" s="281"/>
      <c r="AN298" s="281"/>
      <c r="AO298" s="281"/>
      <c r="AP298" s="281"/>
      <c r="AQ298" s="281"/>
    </row>
    <row r="299" spans="1:43" ht="14.25">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81"/>
      <c r="W299" s="281"/>
      <c r="X299" s="281"/>
      <c r="Y299" s="281"/>
      <c r="Z299" s="281"/>
      <c r="AA299" s="281"/>
      <c r="AB299" s="281"/>
      <c r="AC299" s="281"/>
      <c r="AD299" s="281"/>
      <c r="AE299" s="281"/>
      <c r="AF299" s="281"/>
      <c r="AG299" s="281"/>
      <c r="AH299" s="281"/>
      <c r="AI299" s="281"/>
      <c r="AJ299" s="281"/>
      <c r="AK299" s="281"/>
      <c r="AL299" s="281"/>
      <c r="AM299" s="281"/>
      <c r="AN299" s="281"/>
      <c r="AO299" s="281"/>
      <c r="AP299" s="281"/>
      <c r="AQ299" s="281"/>
    </row>
    <row r="300" spans="1:43" ht="14.25">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81"/>
      <c r="W300" s="281"/>
      <c r="X300" s="281"/>
      <c r="Y300" s="281"/>
      <c r="Z300" s="281"/>
      <c r="AA300" s="281"/>
      <c r="AB300" s="281"/>
      <c r="AC300" s="281"/>
      <c r="AD300" s="281"/>
      <c r="AE300" s="281"/>
      <c r="AF300" s="281"/>
      <c r="AG300" s="281"/>
      <c r="AH300" s="281"/>
      <c r="AI300" s="281"/>
      <c r="AJ300" s="281"/>
      <c r="AK300" s="281"/>
      <c r="AL300" s="281"/>
      <c r="AM300" s="281"/>
      <c r="AN300" s="281"/>
      <c r="AO300" s="281"/>
      <c r="AP300" s="281"/>
      <c r="AQ300" s="281"/>
    </row>
  </sheetData>
  <sheetProtection password="E1D3" sheet="1" objects="1" scenarios="1" formatColumns="0" formatRows="0" selectLockedCells="1"/>
  <mergeCells count="332">
    <mergeCell ref="C99:D99"/>
    <mergeCell ref="C95:D95"/>
    <mergeCell ref="C92:D92"/>
    <mergeCell ref="C93:D93"/>
    <mergeCell ref="C94:D94"/>
    <mergeCell ref="C87:D87"/>
    <mergeCell ref="C96:D96"/>
    <mergeCell ref="C97:D97"/>
    <mergeCell ref="C98:D98"/>
    <mergeCell ref="C91:D91"/>
    <mergeCell ref="P7:U7"/>
    <mergeCell ref="P8:U8"/>
    <mergeCell ref="P9:U9"/>
    <mergeCell ref="Q26:U26"/>
    <mergeCell ref="C88:D88"/>
    <mergeCell ref="C89:D89"/>
    <mergeCell ref="P11:U11"/>
    <mergeCell ref="M73:N73"/>
    <mergeCell ref="O73:P73"/>
    <mergeCell ref="Q13:U13"/>
    <mergeCell ref="C90:D90"/>
    <mergeCell ref="G26:I26"/>
    <mergeCell ref="C104:D104"/>
    <mergeCell ref="B85:L85"/>
    <mergeCell ref="C100:D100"/>
    <mergeCell ref="C101:D101"/>
    <mergeCell ref="C102:D102"/>
    <mergeCell ref="C103:D103"/>
    <mergeCell ref="K69:L69"/>
    <mergeCell ref="E66:F66"/>
    <mergeCell ref="P6:U6"/>
    <mergeCell ref="H10:O10"/>
    <mergeCell ref="J12:L12"/>
    <mergeCell ref="M101:N101"/>
    <mergeCell ref="C14:D14"/>
    <mergeCell ref="C27:D27"/>
    <mergeCell ref="M78:N78"/>
    <mergeCell ref="E78:F78"/>
    <mergeCell ref="J26:K26"/>
    <mergeCell ref="O75:P75"/>
    <mergeCell ref="H6:O6"/>
    <mergeCell ref="H7:O7"/>
    <mergeCell ref="H9:O9"/>
    <mergeCell ref="H8:O8"/>
    <mergeCell ref="P10:U10"/>
    <mergeCell ref="M68:N68"/>
    <mergeCell ref="O68:P68"/>
    <mergeCell ref="M66:N66"/>
    <mergeCell ref="S66:T66"/>
    <mergeCell ref="Q68:R68"/>
    <mergeCell ref="M69:N69"/>
    <mergeCell ref="O69:P69"/>
    <mergeCell ref="G78:H78"/>
    <mergeCell ref="I78:J78"/>
    <mergeCell ref="K78:L78"/>
    <mergeCell ref="O66:P66"/>
    <mergeCell ref="K75:L75"/>
    <mergeCell ref="G66:H66"/>
    <mergeCell ref="I66:J66"/>
    <mergeCell ref="K66:L66"/>
    <mergeCell ref="S78:T78"/>
    <mergeCell ref="M76:N76"/>
    <mergeCell ref="O76:P76"/>
    <mergeCell ref="Q76:R76"/>
    <mergeCell ref="S76:T76"/>
    <mergeCell ref="L13:O13"/>
    <mergeCell ref="O78:P78"/>
    <mergeCell ref="M74:N74"/>
    <mergeCell ref="O74:P74"/>
    <mergeCell ref="O70:P70"/>
    <mergeCell ref="S74:T74"/>
    <mergeCell ref="E74:F74"/>
    <mergeCell ref="G74:H74"/>
    <mergeCell ref="I74:J74"/>
    <mergeCell ref="K74:L74"/>
    <mergeCell ref="E76:F76"/>
    <mergeCell ref="G76:H76"/>
    <mergeCell ref="I76:J76"/>
    <mergeCell ref="K76:L76"/>
    <mergeCell ref="M75:N75"/>
    <mergeCell ref="S70:T70"/>
    <mergeCell ref="E72:F72"/>
    <mergeCell ref="G72:H72"/>
    <mergeCell ref="I72:J72"/>
    <mergeCell ref="K72:L72"/>
    <mergeCell ref="S71:T71"/>
    <mergeCell ref="K70:L70"/>
    <mergeCell ref="M70:N70"/>
    <mergeCell ref="S68:T68"/>
    <mergeCell ref="E68:F68"/>
    <mergeCell ref="G68:H68"/>
    <mergeCell ref="I68:J68"/>
    <mergeCell ref="C74:D74"/>
    <mergeCell ref="C76:D76"/>
    <mergeCell ref="C70:D70"/>
    <mergeCell ref="I75:J75"/>
    <mergeCell ref="S75:T75"/>
    <mergeCell ref="S72:T72"/>
    <mergeCell ref="C78:D78"/>
    <mergeCell ref="C75:D75"/>
    <mergeCell ref="C73:D73"/>
    <mergeCell ref="Q66:R66"/>
    <mergeCell ref="K68:L68"/>
    <mergeCell ref="Q70:R70"/>
    <mergeCell ref="Q74:R74"/>
    <mergeCell ref="Q78:R78"/>
    <mergeCell ref="C66:D66"/>
    <mergeCell ref="C68:D68"/>
    <mergeCell ref="C67:D67"/>
    <mergeCell ref="C69:D69"/>
    <mergeCell ref="C72:D72"/>
    <mergeCell ref="O79:P79"/>
    <mergeCell ref="Q79:R79"/>
    <mergeCell ref="S79:T79"/>
    <mergeCell ref="M79:N79"/>
    <mergeCell ref="Q75:R75"/>
    <mergeCell ref="E75:F75"/>
    <mergeCell ref="G75:H75"/>
    <mergeCell ref="C63:D63"/>
    <mergeCell ref="E63:F63"/>
    <mergeCell ref="G63:H63"/>
    <mergeCell ref="I63:J63"/>
    <mergeCell ref="K63:L63"/>
    <mergeCell ref="M63:N63"/>
    <mergeCell ref="O63:P63"/>
    <mergeCell ref="M77:N77"/>
    <mergeCell ref="O77:P77"/>
    <mergeCell ref="Q77:R77"/>
    <mergeCell ref="S77:T77"/>
    <mergeCell ref="C79:D79"/>
    <mergeCell ref="E79:F79"/>
    <mergeCell ref="G79:H79"/>
    <mergeCell ref="I79:J79"/>
    <mergeCell ref="K79:L79"/>
    <mergeCell ref="C77:D77"/>
    <mergeCell ref="E77:F77"/>
    <mergeCell ref="G77:H77"/>
    <mergeCell ref="I77:J77"/>
    <mergeCell ref="K77:L77"/>
    <mergeCell ref="Q72:R72"/>
    <mergeCell ref="E73:F73"/>
    <mergeCell ref="G73:H73"/>
    <mergeCell ref="I73:J73"/>
    <mergeCell ref="K73:L73"/>
    <mergeCell ref="Q73:R73"/>
    <mergeCell ref="S73:T73"/>
    <mergeCell ref="K71:L71"/>
    <mergeCell ref="M71:N71"/>
    <mergeCell ref="O71:P71"/>
    <mergeCell ref="Q71:R71"/>
    <mergeCell ref="M72:N72"/>
    <mergeCell ref="O72:P72"/>
    <mergeCell ref="C71:D71"/>
    <mergeCell ref="E71:F71"/>
    <mergeCell ref="G71:H71"/>
    <mergeCell ref="I71:J71"/>
    <mergeCell ref="E70:F70"/>
    <mergeCell ref="G70:H70"/>
    <mergeCell ref="I70:J70"/>
    <mergeCell ref="S65:T65"/>
    <mergeCell ref="K62:L62"/>
    <mergeCell ref="M62:N62"/>
    <mergeCell ref="Q69:R69"/>
    <mergeCell ref="E69:F69"/>
    <mergeCell ref="G69:H69"/>
    <mergeCell ref="I69:J69"/>
    <mergeCell ref="S69:T69"/>
    <mergeCell ref="Q63:R63"/>
    <mergeCell ref="S63:T63"/>
    <mergeCell ref="E65:F65"/>
    <mergeCell ref="G65:H65"/>
    <mergeCell ref="I65:J65"/>
    <mergeCell ref="K65:L65"/>
    <mergeCell ref="M65:N65"/>
    <mergeCell ref="O65:P65"/>
    <mergeCell ref="Q62:R62"/>
    <mergeCell ref="M67:N67"/>
    <mergeCell ref="O67:P67"/>
    <mergeCell ref="Q67:R67"/>
    <mergeCell ref="S67:T67"/>
    <mergeCell ref="E67:F67"/>
    <mergeCell ref="G67:H67"/>
    <mergeCell ref="I67:J67"/>
    <mergeCell ref="K67:L67"/>
    <mergeCell ref="S62:T62"/>
    <mergeCell ref="Q64:R64"/>
    <mergeCell ref="S64:T64"/>
    <mergeCell ref="K64:L64"/>
    <mergeCell ref="D51:E51"/>
    <mergeCell ref="F51:G51"/>
    <mergeCell ref="C64:D64"/>
    <mergeCell ref="I62:J62"/>
    <mergeCell ref="N51:O51"/>
    <mergeCell ref="T51:U51"/>
    <mergeCell ref="O62:P62"/>
    <mergeCell ref="C65:D65"/>
    <mergeCell ref="C62:D62"/>
    <mergeCell ref="E62:F62"/>
    <mergeCell ref="G62:H62"/>
    <mergeCell ref="Q65:R65"/>
    <mergeCell ref="E64:F64"/>
    <mergeCell ref="G64:H64"/>
    <mergeCell ref="I64:J64"/>
    <mergeCell ref="M64:N64"/>
    <mergeCell ref="O64:P64"/>
    <mergeCell ref="F50:G50"/>
    <mergeCell ref="F44:G44"/>
    <mergeCell ref="F45:G45"/>
    <mergeCell ref="F46:G46"/>
    <mergeCell ref="H44:I44"/>
    <mergeCell ref="H45:I45"/>
    <mergeCell ref="H46:I46"/>
    <mergeCell ref="N48:O48"/>
    <mergeCell ref="N47:O47"/>
    <mergeCell ref="L47:M47"/>
    <mergeCell ref="L48:M48"/>
    <mergeCell ref="H51:I51"/>
    <mergeCell ref="J51:K51"/>
    <mergeCell ref="J50:K50"/>
    <mergeCell ref="J49:K49"/>
    <mergeCell ref="J48:K48"/>
    <mergeCell ref="N50:O50"/>
    <mergeCell ref="L41:M41"/>
    <mergeCell ref="L42:M42"/>
    <mergeCell ref="L43:M43"/>
    <mergeCell ref="J41:K41"/>
    <mergeCell ref="J42:K42"/>
    <mergeCell ref="J47:K47"/>
    <mergeCell ref="L44:M44"/>
    <mergeCell ref="J44:K44"/>
    <mergeCell ref="D49:E49"/>
    <mergeCell ref="H50:I50"/>
    <mergeCell ref="H47:I47"/>
    <mergeCell ref="H48:I48"/>
    <mergeCell ref="H49:I49"/>
    <mergeCell ref="F47:G47"/>
    <mergeCell ref="D50:E50"/>
    <mergeCell ref="F48:G48"/>
    <mergeCell ref="F49:G49"/>
    <mergeCell ref="D47:E47"/>
    <mergeCell ref="F42:G42"/>
    <mergeCell ref="H42:I42"/>
    <mergeCell ref="D43:E43"/>
    <mergeCell ref="F43:G43"/>
    <mergeCell ref="D48:E48"/>
    <mergeCell ref="D45:E45"/>
    <mergeCell ref="D44:E44"/>
    <mergeCell ref="D46:E46"/>
    <mergeCell ref="T42:U42"/>
    <mergeCell ref="N42:O42"/>
    <mergeCell ref="P43:Q43"/>
    <mergeCell ref="R43:S43"/>
    <mergeCell ref="P42:Q42"/>
    <mergeCell ref="R42:S42"/>
    <mergeCell ref="T45:U45"/>
    <mergeCell ref="T46:U46"/>
    <mergeCell ref="J45:K45"/>
    <mergeCell ref="P46:Q46"/>
    <mergeCell ref="R46:S46"/>
    <mergeCell ref="L45:M45"/>
    <mergeCell ref="L46:M46"/>
    <mergeCell ref="P45:Q45"/>
    <mergeCell ref="J46:K46"/>
    <mergeCell ref="R45:S45"/>
    <mergeCell ref="T41:U41"/>
    <mergeCell ref="N41:O41"/>
    <mergeCell ref="T40:U40"/>
    <mergeCell ref="P40:Q40"/>
    <mergeCell ref="R40:S40"/>
    <mergeCell ref="P41:Q41"/>
    <mergeCell ref="N40:O40"/>
    <mergeCell ref="R41:S41"/>
    <mergeCell ref="N49:O49"/>
    <mergeCell ref="L51:M51"/>
    <mergeCell ref="L50:M50"/>
    <mergeCell ref="L49:M49"/>
    <mergeCell ref="D41:E41"/>
    <mergeCell ref="F41:G41"/>
    <mergeCell ref="J43:K43"/>
    <mergeCell ref="H41:I41"/>
    <mergeCell ref="D42:E42"/>
    <mergeCell ref="H43:I43"/>
    <mergeCell ref="T48:U48"/>
    <mergeCell ref="T49:U49"/>
    <mergeCell ref="P47:Q47"/>
    <mergeCell ref="P49:Q49"/>
    <mergeCell ref="R47:S47"/>
    <mergeCell ref="P50:Q50"/>
    <mergeCell ref="R50:S50"/>
    <mergeCell ref="P48:Q48"/>
    <mergeCell ref="R48:S48"/>
    <mergeCell ref="R49:S49"/>
    <mergeCell ref="T50:U50"/>
    <mergeCell ref="T47:U47"/>
    <mergeCell ref="N44:O44"/>
    <mergeCell ref="N43:O43"/>
    <mergeCell ref="P44:Q44"/>
    <mergeCell ref="R44:S44"/>
    <mergeCell ref="N45:O45"/>
    <mergeCell ref="N46:O46"/>
    <mergeCell ref="T43:U43"/>
    <mergeCell ref="T44:U44"/>
    <mergeCell ref="J40:K40"/>
    <mergeCell ref="H39:I39"/>
    <mergeCell ref="H40:I40"/>
    <mergeCell ref="X39:AB39"/>
    <mergeCell ref="T39:U39"/>
    <mergeCell ref="N39:O39"/>
    <mergeCell ref="P39:Q39"/>
    <mergeCell ref="R39:S39"/>
    <mergeCell ref="J39:K39"/>
    <mergeCell ref="L40:M40"/>
    <mergeCell ref="B11:F11"/>
    <mergeCell ref="D39:E39"/>
    <mergeCell ref="F39:G39"/>
    <mergeCell ref="L39:M39"/>
    <mergeCell ref="G15:I15"/>
    <mergeCell ref="H11:O11"/>
    <mergeCell ref="A37:U38"/>
    <mergeCell ref="G28:I28"/>
    <mergeCell ref="J13:K13"/>
    <mergeCell ref="L26:O26"/>
    <mergeCell ref="D40:E40"/>
    <mergeCell ref="B6:F6"/>
    <mergeCell ref="B7:F7"/>
    <mergeCell ref="B9:F9"/>
    <mergeCell ref="B10:F10"/>
    <mergeCell ref="B8:F8"/>
    <mergeCell ref="F40:G40"/>
    <mergeCell ref="C26:E26"/>
    <mergeCell ref="C13:E13"/>
    <mergeCell ref="G13:I13"/>
  </mergeCells>
  <conditionalFormatting sqref="H29">
    <cfRule type="cellIs" priority="1" dxfId="11" operator="lessThan" stopIfTrue="1">
      <formula>$H$30</formula>
    </cfRule>
  </conditionalFormatting>
  <conditionalFormatting sqref="B8:F8">
    <cfRule type="cellIs" priority="2" dxfId="10" operator="notEqual" stopIfTrue="1">
      <formula>OR($A$86,$A$87,$A$88,$A$89,$A$90,$A$91)</formula>
    </cfRule>
  </conditionalFormatting>
  <conditionalFormatting sqref="T29">
    <cfRule type="cellIs" priority="3" dxfId="0" operator="notBetween" stopIfTrue="1">
      <formula>0.59999</formula>
      <formula>3.01</formula>
    </cfRule>
  </conditionalFormatting>
  <conditionalFormatting sqref="J29">
    <cfRule type="cellIs" priority="4" dxfId="2" operator="lessThan" stopIfTrue="1">
      <formula>$J$30</formula>
    </cfRule>
  </conditionalFormatting>
  <conditionalFormatting sqref="G29">
    <cfRule type="cellIs" priority="5" dxfId="2" operator="lessThan" stopIfTrue="1">
      <formula>$G$30</formula>
    </cfRule>
  </conditionalFormatting>
  <conditionalFormatting sqref="D29">
    <cfRule type="cellIs" priority="6" dxfId="0" operator="notBetween" stopIfTrue="1">
      <formula>$D$30*0.9</formula>
      <formula>$D$30*1.1</formula>
    </cfRule>
  </conditionalFormatting>
  <conditionalFormatting sqref="F29">
    <cfRule type="cellIs" priority="7" dxfId="2" operator="lessThan" stopIfTrue="1">
      <formula>$F$30</formula>
    </cfRule>
  </conditionalFormatting>
  <conditionalFormatting sqref="R29">
    <cfRule type="cellIs" priority="8" dxfId="2" operator="lessThan" stopIfTrue="1">
      <formula>$R$30</formula>
    </cfRule>
    <cfRule type="cellIs" priority="9" dxfId="2" operator="notBetween" stopIfTrue="1">
      <formula>$S$29*1.2</formula>
      <formula>$S$29*3</formula>
    </cfRule>
  </conditionalFormatting>
  <conditionalFormatting sqref="S29">
    <cfRule type="cellIs" priority="10" dxfId="2" operator="notBetween" stopIfTrue="1">
      <formula>$R$29/1.2</formula>
      <formula>$R$29/3</formula>
    </cfRule>
    <cfRule type="cellIs" priority="11" dxfId="0" operator="lessThan" stopIfTrue="1">
      <formula>$S$30</formula>
    </cfRule>
  </conditionalFormatting>
  <conditionalFormatting sqref="U29">
    <cfRule type="cellIs" priority="12" dxfId="0" operator="notBetween" stopIfTrue="1">
      <formula>0.1499999</formula>
      <formula>0.4001</formula>
    </cfRule>
  </conditionalFormatting>
  <dataValidations count="16">
    <dataValidation type="list" allowBlank="1" showInputMessage="1" showErrorMessage="1" sqref="A99:A102">
      <formula1>$B$48:$B$64</formula1>
    </dataValidation>
    <dataValidation allowBlank="1" showInputMessage="1" showErrorMessage="1" promptTitle="Dry Matter Intake" prompt="Proposed Dry Matter Intake must be within 10% of theDry Matter Intake in the Requirements." sqref="D29"/>
    <dataValidation allowBlank="1" showInputMessage="1" showErrorMessage="1" promptTitle="Net Energy for Maintainance" prompt="NEm of the proposed diet must be equal to or greater than the NEm of the requirements." sqref="G29"/>
    <dataValidation allowBlank="1" showInputMessage="1" showErrorMessage="1" promptTitle="Crude Protein" prompt="Crude Protein of the proposed diet must be equal to or greater than the Crude Protein of the requirements." sqref="J29"/>
    <dataValidation allowBlank="1" showInputMessage="1" showErrorMessage="1" promptTitle="Calcium Level" prompt="Calcium level in proposed diet must be equal to or greater than the calcium requirement.  Calcium must also be between 1.2 and 3.0 times greater than the phosporus level." sqref="R29"/>
    <dataValidation allowBlank="1" showInputMessage="1" showErrorMessage="1" promptTitle="Phosphorus Level" prompt="Phosphorus level in proposed diet must be equal to or greater than the phosphorus requirement.  Also, calcium level must be between 1.2 and 3.0 times greater than phosphorus." sqref="S29"/>
    <dataValidation allowBlank="1" showInputMessage="1" showErrorMessage="1" promptTitle="Total Digestible Nutrients" prompt="TDN of proposed diet must be equal to or greater than the TDN in the requirements." sqref="F29"/>
    <dataValidation allowBlank="1" showInputMessage="1" showErrorMessage="1" promptTitle="Potassium" prompt="Potassium level of proposed diet must be between 0.6% and 3.0%. " sqref="T29"/>
    <dataValidation allowBlank="1" showInputMessage="1" showErrorMessage="1" promptTitle="Sulfur" prompt="Sulfur level of the proposed diet must be between 0.15% and 0.4%." sqref="U29"/>
    <dataValidation type="list" allowBlank="1" showInputMessage="1" showErrorMessage="1" sqref="A16:A25">
      <formula1>feedss</formula1>
    </dataValidation>
    <dataValidation type="list" allowBlank="1" showInputMessage="1" showErrorMessage="1" sqref="B9:F10">
      <formula1>$B$88:$B$104</formula1>
    </dataValidation>
    <dataValidation type="list" allowBlank="1" showInputMessage="1" showErrorMessage="1" sqref="B7:F7">
      <formula1>$A$104:$A$110</formula1>
    </dataValidation>
    <dataValidation type="list" allowBlank="1" showInputMessage="1" showErrorMessage="1" sqref="P8:T8">
      <formula1>$A$126:$A$128</formula1>
    </dataValidation>
    <dataValidation type="list" allowBlank="1" showInputMessage="1" showErrorMessage="1" sqref="B8:F8">
      <formula1>$A$86:$A$93</formula1>
    </dataValidation>
    <dataValidation type="list" allowBlank="1" showInputMessage="1" showErrorMessage="1" sqref="P10:R11">
      <formula1>$W$53:$W$81</formula1>
    </dataValidation>
    <dataValidation type="list" allowBlank="1" showInputMessage="1" showErrorMessage="1" sqref="P9:R9">
      <formula1>$W$106:$W$113</formula1>
    </dataValidation>
  </dataValidations>
  <hyperlinks>
    <hyperlink ref="L4" r:id="rId1" display="boers010@umn.edu"/>
  </hyperlinks>
  <printOptions/>
  <pageMargins left="0.25" right="0.25" top="0.25" bottom="0.25" header="0.5" footer="0.5"/>
  <pageSetup horizontalDpi="600" verticalDpi="600" orientation="landscape"/>
  <ignoredErrors>
    <ignoredError sqref="C29" unlockedFormula="1"/>
  </ignoredErrors>
  <drawing r:id="rId2"/>
</worksheet>
</file>

<file path=xl/worksheets/sheet3.xml><?xml version="1.0" encoding="utf-8"?>
<worksheet xmlns="http://schemas.openxmlformats.org/spreadsheetml/2006/main" xmlns:r="http://schemas.openxmlformats.org/officeDocument/2006/relationships">
  <sheetPr>
    <tabColor indexed="16"/>
  </sheetPr>
  <dimension ref="A1:Z246"/>
  <sheetViews>
    <sheetView showRowColHeaders="0" zoomScalePageLayoutView="0" workbookViewId="0" topLeftCell="A4">
      <selection activeCell="B10" sqref="B10:D10"/>
    </sheetView>
  </sheetViews>
  <sheetFormatPr defaultColWidth="8.8515625" defaultRowHeight="12.75"/>
  <cols>
    <col min="1" max="1" width="38.421875" style="0" customWidth="1"/>
    <col min="2" max="3" width="5.7109375" style="0" customWidth="1"/>
    <col min="4" max="4" width="8.7109375" style="0" customWidth="1"/>
    <col min="5" max="8" width="5.7109375" style="0" customWidth="1"/>
    <col min="9" max="9" width="6.7109375" style="0" customWidth="1"/>
    <col min="10" max="14" width="7.7109375" style="0" customWidth="1"/>
  </cols>
  <sheetData>
    <row r="1" spans="1:26" s="3" customFormat="1" ht="18" customHeight="1">
      <c r="A1" s="5"/>
      <c r="B1" s="5"/>
      <c r="C1" s="5"/>
      <c r="D1" s="5"/>
      <c r="E1" s="5"/>
      <c r="F1" s="5"/>
      <c r="G1" s="5"/>
      <c r="H1" s="5"/>
      <c r="I1" s="5"/>
      <c r="J1" s="6" t="s">
        <v>290</v>
      </c>
      <c r="K1" s="5"/>
      <c r="L1" s="5"/>
      <c r="M1" s="5"/>
      <c r="N1" s="5"/>
      <c r="O1" s="5"/>
      <c r="P1" s="5"/>
      <c r="Q1" s="5"/>
      <c r="R1" s="5"/>
      <c r="S1" s="5"/>
      <c r="T1" s="5"/>
      <c r="U1" s="5"/>
      <c r="V1" s="5"/>
      <c r="W1" s="5"/>
      <c r="X1" s="5"/>
      <c r="Y1" s="5"/>
      <c r="Z1" s="5"/>
    </row>
    <row r="2" spans="1:26" s="3" customFormat="1" ht="18" customHeight="1">
      <c r="A2" s="5"/>
      <c r="B2" s="5"/>
      <c r="C2" s="5"/>
      <c r="D2" s="5"/>
      <c r="E2" s="5"/>
      <c r="F2" s="5"/>
      <c r="G2" s="5"/>
      <c r="H2" s="5"/>
      <c r="I2" s="5"/>
      <c r="J2" s="7" t="s">
        <v>291</v>
      </c>
      <c r="K2" s="5"/>
      <c r="L2" s="5"/>
      <c r="M2" s="5"/>
      <c r="N2" s="5"/>
      <c r="O2" s="5"/>
      <c r="P2" s="5"/>
      <c r="Q2" s="5"/>
      <c r="R2" s="5"/>
      <c r="S2" s="5"/>
      <c r="T2" s="5"/>
      <c r="U2" s="5"/>
      <c r="V2" s="5"/>
      <c r="W2" s="5"/>
      <c r="X2" s="5"/>
      <c r="Y2" s="5"/>
      <c r="Z2" s="5"/>
    </row>
    <row r="3" spans="1:26" s="3" customFormat="1" ht="18" customHeight="1">
      <c r="A3" s="5"/>
      <c r="B3" s="5"/>
      <c r="C3" s="5"/>
      <c r="D3" s="5"/>
      <c r="E3" s="5"/>
      <c r="F3" s="5"/>
      <c r="G3" s="5"/>
      <c r="H3" s="5"/>
      <c r="I3" s="5"/>
      <c r="J3" s="7" t="s">
        <v>292</v>
      </c>
      <c r="K3" s="5"/>
      <c r="L3" s="5"/>
      <c r="M3" s="5"/>
      <c r="N3" s="5"/>
      <c r="O3" s="5"/>
      <c r="P3" s="5"/>
      <c r="Q3" s="5"/>
      <c r="R3" s="5"/>
      <c r="S3" s="5"/>
      <c r="T3" s="5"/>
      <c r="U3" s="5"/>
      <c r="V3" s="5"/>
      <c r="W3" s="5"/>
      <c r="X3" s="5"/>
      <c r="Y3" s="5"/>
      <c r="Z3" s="5"/>
    </row>
    <row r="4" spans="1:26" s="3" customFormat="1" ht="18" customHeight="1">
      <c r="A4" s="5"/>
      <c r="B4" s="5"/>
      <c r="C4" s="5"/>
      <c r="D4" s="5"/>
      <c r="E4" s="5"/>
      <c r="F4" s="5"/>
      <c r="G4" s="5"/>
      <c r="H4" s="5"/>
      <c r="I4" s="5"/>
      <c r="J4" s="8" t="s">
        <v>293</v>
      </c>
      <c r="K4" s="5"/>
      <c r="L4" s="5"/>
      <c r="M4" s="5"/>
      <c r="N4" s="5"/>
      <c r="O4" s="5"/>
      <c r="P4" s="5"/>
      <c r="Q4" s="5"/>
      <c r="R4" s="5"/>
      <c r="S4" s="5"/>
      <c r="T4" s="5"/>
      <c r="U4" s="5"/>
      <c r="V4" s="5"/>
      <c r="W4" s="5"/>
      <c r="X4" s="5"/>
      <c r="Y4" s="5"/>
      <c r="Z4" s="5"/>
    </row>
    <row r="5" spans="1:26" s="4" customFormat="1" ht="18" customHeight="1">
      <c r="A5" s="413" t="s">
        <v>429</v>
      </c>
      <c r="B5" s="413"/>
      <c r="C5" s="413"/>
      <c r="D5" s="413"/>
      <c r="E5" s="413"/>
      <c r="F5" s="413"/>
      <c r="G5" s="413"/>
      <c r="H5" s="413"/>
      <c r="I5" s="414"/>
      <c r="J5" s="414"/>
      <c r="K5" s="414"/>
      <c r="L5" s="414"/>
      <c r="M5" s="414"/>
      <c r="N5" s="414"/>
      <c r="O5" s="16"/>
      <c r="P5" s="13"/>
      <c r="Q5" s="13"/>
      <c r="R5" s="13"/>
      <c r="S5" s="13"/>
      <c r="T5" s="13"/>
      <c r="U5" s="13"/>
      <c r="V5" s="13"/>
      <c r="W5" s="13"/>
      <c r="X5" s="13"/>
      <c r="Y5" s="13"/>
      <c r="Z5" s="13"/>
    </row>
    <row r="6" spans="1:26" s="4" customFormat="1" ht="13.5" customHeight="1">
      <c r="A6" s="413"/>
      <c r="B6" s="413"/>
      <c r="C6" s="413"/>
      <c r="D6" s="413"/>
      <c r="E6" s="413"/>
      <c r="F6" s="413"/>
      <c r="G6" s="413"/>
      <c r="H6" s="413"/>
      <c r="I6" s="414"/>
      <c r="J6" s="414"/>
      <c r="K6" s="414"/>
      <c r="L6" s="414"/>
      <c r="M6" s="414"/>
      <c r="N6" s="414"/>
      <c r="O6" s="16"/>
      <c r="P6" s="13"/>
      <c r="Q6" s="13"/>
      <c r="R6" s="13"/>
      <c r="S6" s="13"/>
      <c r="T6" s="13"/>
      <c r="U6" s="13"/>
      <c r="V6" s="13"/>
      <c r="W6" s="13"/>
      <c r="X6" s="13"/>
      <c r="Y6" s="13"/>
      <c r="Z6" s="13"/>
    </row>
    <row r="7" spans="1:26" s="4" customFormat="1" ht="13.5" customHeight="1" thickBot="1">
      <c r="A7" s="415"/>
      <c r="B7" s="415"/>
      <c r="C7" s="415"/>
      <c r="D7" s="68"/>
      <c r="E7" s="416"/>
      <c r="F7" s="417"/>
      <c r="G7" s="417"/>
      <c r="H7" s="417"/>
      <c r="I7" s="13"/>
      <c r="J7" s="13"/>
      <c r="K7" s="13"/>
      <c r="L7" s="13"/>
      <c r="M7" s="13"/>
      <c r="N7" s="13"/>
      <c r="O7" s="16"/>
      <c r="P7" s="13"/>
      <c r="Q7" s="13"/>
      <c r="R7" s="13"/>
      <c r="S7" s="13"/>
      <c r="T7" s="13"/>
      <c r="U7" s="13"/>
      <c r="V7" s="13"/>
      <c r="W7" s="13"/>
      <c r="X7" s="13"/>
      <c r="Y7" s="13"/>
      <c r="Z7" s="13"/>
    </row>
    <row r="8" spans="1:26" s="4" customFormat="1" ht="15.75" customHeight="1">
      <c r="A8" s="126" t="s">
        <v>411</v>
      </c>
      <c r="B8" s="410" t="s">
        <v>470</v>
      </c>
      <c r="C8" s="411"/>
      <c r="D8" s="412"/>
      <c r="E8" s="332" t="s">
        <v>529</v>
      </c>
      <c r="F8" s="333"/>
      <c r="G8" s="368" t="s">
        <v>529</v>
      </c>
      <c r="H8" s="372"/>
      <c r="I8" s="410" t="s">
        <v>426</v>
      </c>
      <c r="J8" s="411"/>
      <c r="K8" s="411"/>
      <c r="L8" s="411"/>
      <c r="M8" s="411"/>
      <c r="N8" s="412"/>
      <c r="O8" s="16"/>
      <c r="P8" s="13"/>
      <c r="Q8" s="13"/>
      <c r="R8" s="13"/>
      <c r="S8" s="13"/>
      <c r="T8" s="13"/>
      <c r="U8" s="13"/>
      <c r="V8" s="13"/>
      <c r="W8" s="13"/>
      <c r="X8" s="13"/>
      <c r="Y8" s="13"/>
      <c r="Z8" s="13"/>
    </row>
    <row r="9" spans="1:26" s="4" customFormat="1" ht="15.75" customHeight="1">
      <c r="A9" s="87"/>
      <c r="B9" s="419" t="s">
        <v>1</v>
      </c>
      <c r="C9" s="408"/>
      <c r="D9" s="409"/>
      <c r="E9" s="367" t="s">
        <v>527</v>
      </c>
      <c r="F9" s="340"/>
      <c r="G9" s="420" t="s">
        <v>528</v>
      </c>
      <c r="H9" s="421"/>
      <c r="I9" s="419" t="s">
        <v>427</v>
      </c>
      <c r="J9" s="408"/>
      <c r="K9" s="408"/>
      <c r="L9" s="408" t="s">
        <v>428</v>
      </c>
      <c r="M9" s="408"/>
      <c r="N9" s="409"/>
      <c r="O9" s="16"/>
      <c r="P9" s="13"/>
      <c r="Q9" s="13"/>
      <c r="R9" s="13"/>
      <c r="S9" s="13"/>
      <c r="T9" s="13"/>
      <c r="U9" s="13"/>
      <c r="V9" s="13"/>
      <c r="W9" s="13"/>
      <c r="X9" s="13"/>
      <c r="Y9" s="13"/>
      <c r="Z9" s="13"/>
    </row>
    <row r="10" spans="1:26" s="4" customFormat="1" ht="15.75" customHeight="1">
      <c r="A10" s="124" t="str">
        <f>'Ration Balancer'!A16</f>
        <v>Alfalfa Hay Mature</v>
      </c>
      <c r="B10" s="383">
        <f>'Ration Balancer'!C16*'Ration Balancer'!$P$6</f>
        <v>500</v>
      </c>
      <c r="C10" s="384"/>
      <c r="D10" s="385"/>
      <c r="E10" s="401">
        <f>$A$43/(SUM($A$43:$B$52))*100</f>
        <v>70.8215297450425</v>
      </c>
      <c r="F10" s="387"/>
      <c r="G10" s="387">
        <f>$E$43/($E$43+$E$44+$E$45+$E$46+$E$47+$E$48+$E$49+$E$50+$E$51+$E$52)*100</f>
        <v>72.62883364695784</v>
      </c>
      <c r="H10" s="388"/>
      <c r="I10" s="383">
        <f>B10*'Ration Balancer'!$P$7</f>
        <v>75000</v>
      </c>
      <c r="J10" s="384"/>
      <c r="K10" s="386"/>
      <c r="L10" s="384">
        <f>I10/2000</f>
        <v>37.5</v>
      </c>
      <c r="M10" s="384"/>
      <c r="N10" s="385"/>
      <c r="O10" s="16"/>
      <c r="P10" s="13"/>
      <c r="Q10" s="13"/>
      <c r="R10" s="13"/>
      <c r="S10" s="13"/>
      <c r="T10" s="13"/>
      <c r="U10" s="13"/>
      <c r="V10" s="13"/>
      <c r="W10" s="13"/>
      <c r="X10" s="13"/>
      <c r="Y10" s="13"/>
      <c r="Z10" s="13"/>
    </row>
    <row r="11" spans="1:26" s="4" customFormat="1" ht="15.75" customHeight="1">
      <c r="A11" s="125" t="str">
        <f>'Ration Balancer'!A17</f>
        <v>Corn Stover Mature (Stalks)</v>
      </c>
      <c r="B11" s="379">
        <f>'Ration Balancer'!C17*'Ration Balancer'!$P$6</f>
        <v>200</v>
      </c>
      <c r="C11" s="380"/>
      <c r="D11" s="381"/>
      <c r="E11" s="406">
        <f>$A$44/(SUM($A$43:$B$52))*100</f>
        <v>28.328611898016998</v>
      </c>
      <c r="F11" s="407"/>
      <c r="G11" s="407">
        <f>$E$44/($E$43+$E$44+$E$45+$E$46+$E$47+$E$48+$E$49+$E$50+$E$51+$E$52)*100</f>
        <v>26.410484962530123</v>
      </c>
      <c r="H11" s="418"/>
      <c r="I11" s="379">
        <f>B11*'Ration Balancer'!$P$7</f>
        <v>30000</v>
      </c>
      <c r="J11" s="380"/>
      <c r="K11" s="382"/>
      <c r="L11" s="380">
        <f aca="true" t="shared" si="0" ref="L11:L19">I11/2000</f>
        <v>15</v>
      </c>
      <c r="M11" s="380"/>
      <c r="N11" s="381"/>
      <c r="O11" s="16"/>
      <c r="P11" s="13"/>
      <c r="Q11" s="13"/>
      <c r="R11" s="13"/>
      <c r="S11" s="13"/>
      <c r="T11" s="13"/>
      <c r="U11" s="13"/>
      <c r="V11" s="13"/>
      <c r="W11" s="13"/>
      <c r="X11" s="13"/>
      <c r="Y11" s="13"/>
      <c r="Z11" s="13"/>
    </row>
    <row r="12" spans="1:26" s="4" customFormat="1" ht="15.75" customHeight="1">
      <c r="A12" s="124" t="str">
        <f>'Ration Balancer'!A18</f>
        <v>Commercial Supplement, Mineral, High Phos</v>
      </c>
      <c r="B12" s="383">
        <f>'Ration Balancer'!C18*'Ration Balancer'!$P$6</f>
        <v>6</v>
      </c>
      <c r="C12" s="384"/>
      <c r="D12" s="385"/>
      <c r="E12" s="401">
        <f>$A$45/(SUM($A$43:$B$52))*100</f>
        <v>0.84985835694051</v>
      </c>
      <c r="F12" s="387"/>
      <c r="G12" s="387">
        <f>$E$45/($E$43+$E$44+$E$45+$E$46+$E$47+$E$48+$E$49+$E$50+$E$51+$E$52)*100</f>
        <v>0.9606813905120332</v>
      </c>
      <c r="H12" s="388"/>
      <c r="I12" s="383">
        <f>B12*'Ration Balancer'!$P$7</f>
        <v>900</v>
      </c>
      <c r="J12" s="384"/>
      <c r="K12" s="386"/>
      <c r="L12" s="384">
        <f t="shared" si="0"/>
        <v>0.45</v>
      </c>
      <c r="M12" s="384"/>
      <c r="N12" s="385"/>
      <c r="O12" s="16"/>
      <c r="P12" s="13"/>
      <c r="Q12" s="13"/>
      <c r="R12" s="13"/>
      <c r="S12" s="13"/>
      <c r="T12" s="13"/>
      <c r="U12" s="13"/>
      <c r="V12" s="13"/>
      <c r="W12" s="13"/>
      <c r="X12" s="13"/>
      <c r="Y12" s="13"/>
      <c r="Z12" s="13"/>
    </row>
    <row r="13" spans="1:26" s="4" customFormat="1" ht="15.75" customHeight="1">
      <c r="A13" s="125">
        <f>'Ration Balancer'!A19</f>
        <v>0</v>
      </c>
      <c r="B13" s="379">
        <f>'Ration Balancer'!C19*'Ration Balancer'!$P$6</f>
        <v>0</v>
      </c>
      <c r="C13" s="380"/>
      <c r="D13" s="381"/>
      <c r="E13" s="406">
        <f>$A$46/(SUM($A$43:$B$52))*100</f>
        <v>0</v>
      </c>
      <c r="F13" s="407"/>
      <c r="G13" s="407">
        <f>$E$46/($E$43+$E$44+$E$45+$E$46+$E$47+$E$48+$E$49+$E$50+$E$51+$E$52)*100</f>
        <v>0</v>
      </c>
      <c r="H13" s="418"/>
      <c r="I13" s="379">
        <f>B13*'Ration Balancer'!$P$7</f>
        <v>0</v>
      </c>
      <c r="J13" s="380"/>
      <c r="K13" s="382"/>
      <c r="L13" s="380">
        <f t="shared" si="0"/>
        <v>0</v>
      </c>
      <c r="M13" s="380"/>
      <c r="N13" s="381"/>
      <c r="O13" s="16"/>
      <c r="P13" s="13"/>
      <c r="Q13" s="13"/>
      <c r="R13" s="13"/>
      <c r="S13" s="13"/>
      <c r="T13" s="13"/>
      <c r="U13" s="13"/>
      <c r="V13" s="13"/>
      <c r="W13" s="13"/>
      <c r="X13" s="13"/>
      <c r="Y13" s="13"/>
      <c r="Z13" s="13"/>
    </row>
    <row r="14" spans="1:26" s="4" customFormat="1" ht="15.75" customHeight="1">
      <c r="A14" s="124">
        <f>'Ration Balancer'!A20</f>
        <v>0</v>
      </c>
      <c r="B14" s="383">
        <f>'Ration Balancer'!C20*'Ration Balancer'!$P$6</f>
        <v>0</v>
      </c>
      <c r="C14" s="384"/>
      <c r="D14" s="385"/>
      <c r="E14" s="401">
        <f>$A$47/(SUM($A$43:$B$52))*100</f>
        <v>0</v>
      </c>
      <c r="F14" s="387"/>
      <c r="G14" s="387">
        <f>$E$47/($E$43+$E$44+$E$45+$E$46+$E$47+$E$48+$E$49+$E$50+$E$51+$E$52)*100</f>
        <v>0</v>
      </c>
      <c r="H14" s="388"/>
      <c r="I14" s="383">
        <f>B14*'Ration Balancer'!$P$7</f>
        <v>0</v>
      </c>
      <c r="J14" s="384"/>
      <c r="K14" s="386"/>
      <c r="L14" s="384">
        <f t="shared" si="0"/>
        <v>0</v>
      </c>
      <c r="M14" s="384"/>
      <c r="N14" s="385"/>
      <c r="O14" s="16"/>
      <c r="P14" s="13"/>
      <c r="Q14" s="13"/>
      <c r="R14" s="13"/>
      <c r="S14" s="13"/>
      <c r="T14" s="13"/>
      <c r="U14" s="13"/>
      <c r="V14" s="13"/>
      <c r="W14" s="13"/>
      <c r="X14" s="13"/>
      <c r="Y14" s="13"/>
      <c r="Z14" s="13"/>
    </row>
    <row r="15" spans="1:26" s="4" customFormat="1" ht="15.75" customHeight="1">
      <c r="A15" s="125">
        <f>'Ration Balancer'!A21</f>
        <v>0</v>
      </c>
      <c r="B15" s="379">
        <f>'Ration Balancer'!C21*'Ration Balancer'!$P$6</f>
        <v>0</v>
      </c>
      <c r="C15" s="380"/>
      <c r="D15" s="381"/>
      <c r="E15" s="406">
        <f>$A$48/(SUM($A$43:$B$52))*100</f>
        <v>0</v>
      </c>
      <c r="F15" s="407"/>
      <c r="G15" s="407">
        <f>$E$48/($E$43+$E$44+$E$45+$E$46+$E$47+$E$48+$E$49+$E$50+$E$51+$E$52)*100</f>
        <v>0</v>
      </c>
      <c r="H15" s="418"/>
      <c r="I15" s="379">
        <f>B15*'Ration Balancer'!$P$7</f>
        <v>0</v>
      </c>
      <c r="J15" s="380"/>
      <c r="K15" s="382"/>
      <c r="L15" s="380">
        <f t="shared" si="0"/>
        <v>0</v>
      </c>
      <c r="M15" s="380"/>
      <c r="N15" s="381"/>
      <c r="O15" s="16"/>
      <c r="P15" s="13"/>
      <c r="Q15" s="13"/>
      <c r="R15" s="13"/>
      <c r="S15" s="13"/>
      <c r="T15" s="13"/>
      <c r="U15" s="13"/>
      <c r="V15" s="13"/>
      <c r="W15" s="13"/>
      <c r="X15" s="13"/>
      <c r="Y15" s="13"/>
      <c r="Z15" s="13"/>
    </row>
    <row r="16" spans="1:26" s="4" customFormat="1" ht="15.75" customHeight="1">
      <c r="A16" s="124">
        <f>'Ration Balancer'!A22</f>
        <v>0</v>
      </c>
      <c r="B16" s="383">
        <f>'Ration Balancer'!C22*'Ration Balancer'!$P$6</f>
        <v>0</v>
      </c>
      <c r="C16" s="384"/>
      <c r="D16" s="385"/>
      <c r="E16" s="401">
        <f>$A$49/(SUM($A$43:$B$52))*100</f>
        <v>0</v>
      </c>
      <c r="F16" s="387"/>
      <c r="G16" s="387">
        <f>$E$49/($E$43+$E$44+$E$45+$E$46+$E$47+$E$48+$E$49+$E$50+$E$51+$E$52)*100</f>
        <v>0</v>
      </c>
      <c r="H16" s="388"/>
      <c r="I16" s="383">
        <f>B16*'Ration Balancer'!$P$7</f>
        <v>0</v>
      </c>
      <c r="J16" s="384"/>
      <c r="K16" s="386"/>
      <c r="L16" s="384">
        <f t="shared" si="0"/>
        <v>0</v>
      </c>
      <c r="M16" s="384"/>
      <c r="N16" s="385"/>
      <c r="O16" s="16"/>
      <c r="P16" s="13"/>
      <c r="Q16" s="13"/>
      <c r="R16" s="13"/>
      <c r="S16" s="13"/>
      <c r="T16" s="13"/>
      <c r="U16" s="13"/>
      <c r="V16" s="13"/>
      <c r="W16" s="13"/>
      <c r="X16" s="13"/>
      <c r="Y16" s="13"/>
      <c r="Z16" s="13"/>
    </row>
    <row r="17" spans="1:26" s="4" customFormat="1" ht="15.75" customHeight="1">
      <c r="A17" s="125">
        <f>'Ration Balancer'!A23</f>
        <v>0</v>
      </c>
      <c r="B17" s="379">
        <f>'Ration Balancer'!C23*'Ration Balancer'!$P$6</f>
        <v>0</v>
      </c>
      <c r="C17" s="380"/>
      <c r="D17" s="381"/>
      <c r="E17" s="406">
        <f>$A$50/(SUM($A$43:$B$52))*100</f>
        <v>0</v>
      </c>
      <c r="F17" s="407"/>
      <c r="G17" s="407">
        <f>$E$50/($E$43+$E$44+$E$45+$E$46+$E$47+$E$48+$E$49+$E$50+$E$51+$E$52)*100</f>
        <v>0</v>
      </c>
      <c r="H17" s="418"/>
      <c r="I17" s="379">
        <f>B17*'Ration Balancer'!$P$7</f>
        <v>0</v>
      </c>
      <c r="J17" s="380"/>
      <c r="K17" s="382"/>
      <c r="L17" s="380">
        <f t="shared" si="0"/>
        <v>0</v>
      </c>
      <c r="M17" s="380"/>
      <c r="N17" s="381"/>
      <c r="O17" s="16"/>
      <c r="P17" s="13"/>
      <c r="Q17" s="13"/>
      <c r="R17" s="13"/>
      <c r="S17" s="13"/>
      <c r="T17" s="13"/>
      <c r="U17" s="13"/>
      <c r="V17" s="13"/>
      <c r="W17" s="13"/>
      <c r="X17" s="13"/>
      <c r="Y17" s="13"/>
      <c r="Z17" s="13"/>
    </row>
    <row r="18" spans="1:26" s="4" customFormat="1" ht="15.75" customHeight="1">
      <c r="A18" s="124">
        <f>'Ration Balancer'!A24</f>
        <v>0</v>
      </c>
      <c r="B18" s="383">
        <f>'Ration Balancer'!C24*'Ration Balancer'!$P$6</f>
        <v>0</v>
      </c>
      <c r="C18" s="384"/>
      <c r="D18" s="385"/>
      <c r="E18" s="401">
        <f>$A$51/(SUM($A$43:$B$52))*100</f>
        <v>0</v>
      </c>
      <c r="F18" s="387"/>
      <c r="G18" s="387">
        <f>$E$51/($E$43+$E$44+$E$45+$E$46+$E$47+$E$48+$E$49+$E$50+$E$51+$E$52)*100</f>
        <v>0</v>
      </c>
      <c r="H18" s="388"/>
      <c r="I18" s="383">
        <f>B18*'Ration Balancer'!$P$7</f>
        <v>0</v>
      </c>
      <c r="J18" s="384"/>
      <c r="K18" s="386"/>
      <c r="L18" s="384">
        <f t="shared" si="0"/>
        <v>0</v>
      </c>
      <c r="M18" s="384"/>
      <c r="N18" s="385"/>
      <c r="O18" s="16"/>
      <c r="P18" s="13"/>
      <c r="Q18" s="13"/>
      <c r="R18" s="13"/>
      <c r="S18" s="13"/>
      <c r="T18" s="13"/>
      <c r="U18" s="13"/>
      <c r="V18" s="13"/>
      <c r="W18" s="13"/>
      <c r="X18" s="13"/>
      <c r="Y18" s="13"/>
      <c r="Z18" s="13"/>
    </row>
    <row r="19" spans="1:26" s="4" customFormat="1" ht="15.75" customHeight="1" thickBot="1">
      <c r="A19" s="127">
        <f>'Ration Balancer'!A25</f>
        <v>0</v>
      </c>
      <c r="B19" s="390">
        <f>'Ration Balancer'!C25*'Ration Balancer'!$P$6</f>
        <v>0</v>
      </c>
      <c r="C19" s="391"/>
      <c r="D19" s="392"/>
      <c r="E19" s="402">
        <f>$A$52/(SUM($A$43:$B$52))*100</f>
        <v>0</v>
      </c>
      <c r="F19" s="396"/>
      <c r="G19" s="396">
        <f>$E$52/($E$43+$E$44+$E$45+$E$46+$E$47+$E$48+$E$49+$E$50+$E$51+$E$52)*100</f>
        <v>0</v>
      </c>
      <c r="H19" s="397"/>
      <c r="I19" s="390">
        <f>B19*'Ration Balancer'!$P$7</f>
        <v>0</v>
      </c>
      <c r="J19" s="391"/>
      <c r="K19" s="393"/>
      <c r="L19" s="391">
        <f t="shared" si="0"/>
        <v>0</v>
      </c>
      <c r="M19" s="391"/>
      <c r="N19" s="392"/>
      <c r="O19" s="16"/>
      <c r="P19" s="13"/>
      <c r="Q19" s="13"/>
      <c r="R19" s="13"/>
      <c r="S19" s="13"/>
      <c r="T19" s="13"/>
      <c r="U19" s="13"/>
      <c r="V19" s="13"/>
      <c r="W19" s="13"/>
      <c r="X19" s="13"/>
      <c r="Y19" s="13"/>
      <c r="Z19" s="13"/>
    </row>
    <row r="20" spans="1:26" s="4" customFormat="1" ht="15.75" customHeight="1" thickBot="1">
      <c r="A20" s="89" t="s">
        <v>475</v>
      </c>
      <c r="B20" s="394">
        <f>SUM(B10:D19)</f>
        <v>706</v>
      </c>
      <c r="C20" s="394"/>
      <c r="D20" s="394"/>
      <c r="E20" s="398">
        <f>SUM(E10:F19)</f>
        <v>100.00000000000001</v>
      </c>
      <c r="F20" s="399"/>
      <c r="G20" s="398">
        <f>SUM(G10:H19)</f>
        <v>100</v>
      </c>
      <c r="H20" s="399"/>
      <c r="I20" s="394">
        <f>SUM(I10:K19)</f>
        <v>105900</v>
      </c>
      <c r="J20" s="394"/>
      <c r="K20" s="394"/>
      <c r="L20" s="394">
        <f>SUM(L10:N19)</f>
        <v>52.95</v>
      </c>
      <c r="M20" s="394"/>
      <c r="N20" s="395"/>
      <c r="O20" s="16"/>
      <c r="P20" s="13"/>
      <c r="Q20" s="13"/>
      <c r="R20" s="13"/>
      <c r="S20" s="13"/>
      <c r="T20" s="13"/>
      <c r="U20" s="13"/>
      <c r="V20" s="13"/>
      <c r="W20" s="13"/>
      <c r="X20" s="13"/>
      <c r="Y20" s="13"/>
      <c r="Z20" s="13"/>
    </row>
    <row r="21" spans="1:26" s="4" customFormat="1" ht="15.75" customHeight="1">
      <c r="A21" s="88"/>
      <c r="B21" s="88"/>
      <c r="C21" s="88"/>
      <c r="D21" s="88"/>
      <c r="E21" s="88"/>
      <c r="F21" s="88"/>
      <c r="G21" s="88"/>
      <c r="H21" s="88"/>
      <c r="I21" s="13"/>
      <c r="J21" s="13"/>
      <c r="K21" s="13"/>
      <c r="L21" s="13"/>
      <c r="M21" s="13"/>
      <c r="N21" s="13"/>
      <c r="O21" s="16"/>
      <c r="P21" s="13"/>
      <c r="Q21" s="13"/>
      <c r="R21" s="13"/>
      <c r="S21" s="13"/>
      <c r="T21" s="13"/>
      <c r="U21" s="13"/>
      <c r="V21" s="13"/>
      <c r="W21" s="13"/>
      <c r="X21" s="13"/>
      <c r="Y21" s="13"/>
      <c r="Z21" s="13"/>
    </row>
    <row r="22" spans="1:26" s="4" customFormat="1" ht="15.75" customHeight="1">
      <c r="A22" s="403" t="s">
        <v>474</v>
      </c>
      <c r="B22" s="403"/>
      <c r="C22" s="403"/>
      <c r="D22" s="403"/>
      <c r="E22" s="405"/>
      <c r="F22" s="405"/>
      <c r="G22" s="405"/>
      <c r="H22" s="405"/>
      <c r="I22" s="13"/>
      <c r="J22" s="13"/>
      <c r="K22" s="13"/>
      <c r="L22" s="13"/>
      <c r="M22" s="13"/>
      <c r="N22" s="13"/>
      <c r="O22" s="16"/>
      <c r="P22" s="13"/>
      <c r="Q22" s="13"/>
      <c r="R22" s="13"/>
      <c r="S22" s="13"/>
      <c r="T22" s="13"/>
      <c r="U22" s="13"/>
      <c r="V22" s="13"/>
      <c r="W22" s="13"/>
      <c r="X22" s="13"/>
      <c r="Y22" s="13"/>
      <c r="Z22" s="13"/>
    </row>
    <row r="23" spans="1:26" s="4" customFormat="1" ht="15.75" customHeight="1" thickBot="1">
      <c r="A23" s="404"/>
      <c r="B23" s="404"/>
      <c r="C23" s="404"/>
      <c r="D23" s="404"/>
      <c r="E23" s="405"/>
      <c r="F23" s="405"/>
      <c r="G23" s="405"/>
      <c r="H23" s="405"/>
      <c r="I23" s="13"/>
      <c r="J23" s="13"/>
      <c r="K23" s="13"/>
      <c r="L23" s="13"/>
      <c r="M23" s="13"/>
      <c r="N23" s="13"/>
      <c r="O23" s="16"/>
      <c r="P23" s="13"/>
      <c r="Q23" s="13"/>
      <c r="R23" s="13"/>
      <c r="S23" s="13"/>
      <c r="T23" s="13"/>
      <c r="U23" s="13"/>
      <c r="V23" s="13"/>
      <c r="W23" s="13"/>
      <c r="X23" s="13"/>
      <c r="Y23" s="13"/>
      <c r="Z23" s="13"/>
    </row>
    <row r="24" spans="1:26" s="4" customFormat="1" ht="15.75" customHeight="1">
      <c r="A24" s="98" t="s">
        <v>466</v>
      </c>
      <c r="B24" s="400">
        <f>'Ration Balancer'!B9</f>
        <v>3.5</v>
      </c>
      <c r="C24" s="400"/>
      <c r="D24" s="99"/>
      <c r="E24" s="13"/>
      <c r="F24" s="13"/>
      <c r="G24" s="13"/>
      <c r="H24" s="13"/>
      <c r="I24" s="13"/>
      <c r="J24" s="13"/>
      <c r="K24" s="13"/>
      <c r="L24" s="13"/>
      <c r="M24" s="13"/>
      <c r="N24" s="13"/>
      <c r="O24" s="16"/>
      <c r="P24" s="13"/>
      <c r="Q24" s="13"/>
      <c r="R24" s="13"/>
      <c r="S24" s="13"/>
      <c r="T24" s="13"/>
      <c r="U24" s="13"/>
      <c r="V24" s="13"/>
      <c r="W24" s="13"/>
      <c r="X24" s="13"/>
      <c r="Y24" s="13"/>
      <c r="Z24" s="13"/>
    </row>
    <row r="25" spans="1:26" s="4" customFormat="1" ht="15.75" customHeight="1">
      <c r="A25" s="98" t="s">
        <v>467</v>
      </c>
      <c r="B25" s="400">
        <f>'Ration Balancer'!B10</f>
        <v>3.5</v>
      </c>
      <c r="C25" s="400"/>
      <c r="D25" s="99"/>
      <c r="E25" s="13"/>
      <c r="F25" s="13"/>
      <c r="G25" s="13"/>
      <c r="H25" s="13"/>
      <c r="I25" s="13"/>
      <c r="J25" s="13"/>
      <c r="K25" s="13"/>
      <c r="L25" s="13"/>
      <c r="M25" s="13"/>
      <c r="N25" s="13"/>
      <c r="O25" s="16"/>
      <c r="P25" s="13"/>
      <c r="Q25" s="13"/>
      <c r="R25" s="13"/>
      <c r="S25" s="13"/>
      <c r="T25" s="13"/>
      <c r="U25" s="13"/>
      <c r="V25" s="13"/>
      <c r="W25" s="13"/>
      <c r="X25" s="13"/>
      <c r="Y25" s="13"/>
      <c r="Z25" s="13"/>
    </row>
    <row r="26" spans="1:26" s="4" customFormat="1" ht="15.75" customHeight="1">
      <c r="A26" s="98" t="s">
        <v>468</v>
      </c>
      <c r="B26" s="378">
        <f>'Ration Balancer'!B6</f>
        <v>1400</v>
      </c>
      <c r="C26" s="378"/>
      <c r="D26" s="98" t="s">
        <v>472</v>
      </c>
      <c r="E26" s="13"/>
      <c r="F26" s="13"/>
      <c r="G26" s="13"/>
      <c r="H26" s="13"/>
      <c r="I26" s="13"/>
      <c r="J26" s="13"/>
      <c r="K26" s="13"/>
      <c r="L26" s="13"/>
      <c r="M26" s="13"/>
      <c r="N26" s="13"/>
      <c r="O26" s="16"/>
      <c r="P26" s="13"/>
      <c r="Q26" s="13"/>
      <c r="R26" s="13"/>
      <c r="S26" s="13"/>
      <c r="T26" s="13"/>
      <c r="U26" s="13"/>
      <c r="V26" s="13"/>
      <c r="W26" s="13"/>
      <c r="X26" s="13"/>
      <c r="Y26" s="13"/>
      <c r="Z26" s="13"/>
    </row>
    <row r="27" spans="1:26" s="4" customFormat="1" ht="15.75" customHeight="1">
      <c r="A27" s="98" t="s">
        <v>469</v>
      </c>
      <c r="B27" s="389">
        <f>B26+'Ration Balancer'!G90</f>
        <v>1400</v>
      </c>
      <c r="C27" s="378"/>
      <c r="D27" s="98" t="s">
        <v>472</v>
      </c>
      <c r="E27" s="13"/>
      <c r="F27" s="13"/>
      <c r="G27" s="13"/>
      <c r="H27" s="13"/>
      <c r="I27" s="13"/>
      <c r="J27" s="13"/>
      <c r="K27" s="13"/>
      <c r="L27" s="13"/>
      <c r="M27" s="13"/>
      <c r="N27" s="13"/>
      <c r="O27" s="16"/>
      <c r="P27" s="13"/>
      <c r="Q27" s="13"/>
      <c r="R27" s="13"/>
      <c r="S27" s="13"/>
      <c r="T27" s="13"/>
      <c r="U27" s="13"/>
      <c r="V27" s="13"/>
      <c r="W27" s="13"/>
      <c r="X27" s="13"/>
      <c r="Y27" s="13"/>
      <c r="Z27" s="13"/>
    </row>
    <row r="28" spans="1:26" s="4" customFormat="1" ht="15.75" customHeight="1">
      <c r="A28" s="98" t="s">
        <v>156</v>
      </c>
      <c r="B28" s="377">
        <f>'Ration Balancer'!G90/('Ration Balancer'!P7)</f>
        <v>0</v>
      </c>
      <c r="C28" s="378"/>
      <c r="D28" s="98" t="s">
        <v>473</v>
      </c>
      <c r="E28" s="13"/>
      <c r="F28" s="13"/>
      <c r="G28" s="13"/>
      <c r="H28" s="13"/>
      <c r="I28" s="13"/>
      <c r="J28" s="13"/>
      <c r="K28" s="13"/>
      <c r="L28" s="13"/>
      <c r="M28" s="13"/>
      <c r="N28" s="13"/>
      <c r="O28" s="16"/>
      <c r="P28" s="13"/>
      <c r="Q28" s="13"/>
      <c r="R28" s="13"/>
      <c r="S28" s="13"/>
      <c r="T28" s="13"/>
      <c r="U28" s="13"/>
      <c r="V28" s="13"/>
      <c r="W28" s="13"/>
      <c r="X28" s="13"/>
      <c r="Y28" s="13"/>
      <c r="Z28" s="13"/>
    </row>
    <row r="29" spans="1:26" s="4" customFormat="1" ht="13.5" customHeight="1">
      <c r="A29" s="16"/>
      <c r="B29" s="64"/>
      <c r="C29" s="63"/>
      <c r="D29" s="16"/>
      <c r="E29" s="16"/>
      <c r="F29" s="16"/>
      <c r="G29" s="16"/>
      <c r="H29" s="16"/>
      <c r="I29" s="16"/>
      <c r="J29" s="16"/>
      <c r="K29" s="16"/>
      <c r="L29" s="16"/>
      <c r="M29" s="16"/>
      <c r="N29" s="16"/>
      <c r="O29" s="16"/>
      <c r="P29" s="13"/>
      <c r="Q29" s="13"/>
      <c r="R29" s="13"/>
      <c r="S29" s="13"/>
      <c r="T29" s="13"/>
      <c r="U29" s="13"/>
      <c r="V29" s="13"/>
      <c r="W29" s="13"/>
      <c r="X29" s="13"/>
      <c r="Y29" s="13"/>
      <c r="Z29" s="13"/>
    </row>
    <row r="30" spans="1:26" s="4" customFormat="1" ht="13.5" customHeight="1">
      <c r="A30" s="16"/>
      <c r="B30" s="64"/>
      <c r="C30" s="63"/>
      <c r="D30" s="16"/>
      <c r="E30" s="16"/>
      <c r="F30" s="16"/>
      <c r="G30" s="16"/>
      <c r="H30" s="16"/>
      <c r="I30" s="16"/>
      <c r="J30" s="16"/>
      <c r="K30" s="16"/>
      <c r="L30" s="16"/>
      <c r="M30" s="16"/>
      <c r="N30" s="16"/>
      <c r="O30" s="16"/>
      <c r="P30" s="13"/>
      <c r="Q30" s="13"/>
      <c r="R30" s="13"/>
      <c r="S30" s="13"/>
      <c r="T30" s="13"/>
      <c r="U30" s="13"/>
      <c r="V30" s="13"/>
      <c r="W30" s="13"/>
      <c r="X30" s="13"/>
      <c r="Y30" s="13"/>
      <c r="Z30" s="13"/>
    </row>
    <row r="31" spans="1:26" s="4" customFormat="1" ht="13.5" customHeight="1">
      <c r="A31" s="374"/>
      <c r="B31" s="375"/>
      <c r="C31" s="374"/>
      <c r="D31" s="10" t="s">
        <v>304</v>
      </c>
      <c r="E31" s="12"/>
      <c r="F31" s="12"/>
      <c r="G31" s="12"/>
      <c r="H31" s="12"/>
      <c r="I31" s="13"/>
      <c r="J31" s="13"/>
      <c r="K31" s="13"/>
      <c r="L31" s="13"/>
      <c r="M31" s="13"/>
      <c r="N31" s="13"/>
      <c r="O31" s="13"/>
      <c r="P31" s="13"/>
      <c r="Q31" s="13"/>
      <c r="R31" s="13"/>
      <c r="S31" s="13"/>
      <c r="T31" s="13"/>
      <c r="U31" s="13"/>
      <c r="V31" s="13"/>
      <c r="W31" s="13"/>
      <c r="X31" s="13"/>
      <c r="Y31" s="13"/>
      <c r="Z31" s="13"/>
    </row>
    <row r="32" spans="1:26" s="4" customFormat="1" ht="13.5" customHeight="1">
      <c r="A32" s="374"/>
      <c r="B32" s="376"/>
      <c r="C32" s="376"/>
      <c r="D32" s="10" t="s">
        <v>305</v>
      </c>
      <c r="E32" s="12"/>
      <c r="F32" s="12"/>
      <c r="G32" s="12"/>
      <c r="H32" s="12"/>
      <c r="I32" s="13"/>
      <c r="J32" s="13"/>
      <c r="K32" s="13"/>
      <c r="L32" s="13"/>
      <c r="M32" s="13"/>
      <c r="N32" s="13"/>
      <c r="O32" s="13"/>
      <c r="P32" s="13"/>
      <c r="Q32" s="13"/>
      <c r="R32" s="13"/>
      <c r="S32" s="13"/>
      <c r="T32" s="13"/>
      <c r="U32" s="13"/>
      <c r="V32" s="13"/>
      <c r="W32" s="13"/>
      <c r="X32" s="13"/>
      <c r="Y32" s="13"/>
      <c r="Z32" s="13"/>
    </row>
    <row r="33" spans="1:26" s="4" customFormat="1" ht="13.5" customHeight="1">
      <c r="A33" s="374"/>
      <c r="B33" s="11"/>
      <c r="C33" s="11"/>
      <c r="D33" s="5"/>
      <c r="E33" s="12"/>
      <c r="F33" s="12"/>
      <c r="G33" s="12"/>
      <c r="H33" s="12"/>
      <c r="I33" s="13"/>
      <c r="J33" s="13"/>
      <c r="K33" s="13"/>
      <c r="L33" s="13"/>
      <c r="M33" s="13"/>
      <c r="N33" s="13"/>
      <c r="O33" s="13"/>
      <c r="P33" s="13"/>
      <c r="Q33" s="13"/>
      <c r="R33" s="13"/>
      <c r="S33" s="13"/>
      <c r="T33" s="13"/>
      <c r="U33" s="13"/>
      <c r="V33" s="13"/>
      <c r="W33" s="13"/>
      <c r="X33" s="13"/>
      <c r="Y33" s="13"/>
      <c r="Z33" s="13"/>
    </row>
    <row r="34" spans="1:26" s="4" customFormat="1" ht="13.5" customHeight="1">
      <c r="A34" s="374"/>
      <c r="B34" s="11"/>
      <c r="C34" s="11"/>
      <c r="D34" s="10" t="s">
        <v>294</v>
      </c>
      <c r="E34" s="12"/>
      <c r="F34" s="12"/>
      <c r="G34" s="12"/>
      <c r="H34" s="12"/>
      <c r="I34" s="13"/>
      <c r="J34" s="13"/>
      <c r="K34" s="13"/>
      <c r="L34" s="13"/>
      <c r="M34" s="13"/>
      <c r="N34" s="13"/>
      <c r="O34" s="13"/>
      <c r="P34" s="13"/>
      <c r="Q34" s="13"/>
      <c r="R34" s="13"/>
      <c r="S34" s="13"/>
      <c r="T34" s="13"/>
      <c r="U34" s="13"/>
      <c r="V34" s="13"/>
      <c r="W34" s="13"/>
      <c r="X34" s="13"/>
      <c r="Y34" s="13"/>
      <c r="Z34" s="13"/>
    </row>
    <row r="35" spans="1:26" s="4" customFormat="1" ht="13.5" customHeight="1">
      <c r="A35" s="374"/>
      <c r="B35" s="375"/>
      <c r="C35" s="375"/>
      <c r="D35" s="10" t="s">
        <v>295</v>
      </c>
      <c r="E35" s="12"/>
      <c r="F35" s="12"/>
      <c r="G35" s="12"/>
      <c r="H35" s="12"/>
      <c r="I35" s="13"/>
      <c r="J35" s="13"/>
      <c r="K35" s="13"/>
      <c r="L35" s="13"/>
      <c r="M35" s="13"/>
      <c r="N35" s="13"/>
      <c r="O35" s="13"/>
      <c r="P35" s="13"/>
      <c r="Q35" s="13"/>
      <c r="R35" s="13"/>
      <c r="S35" s="13"/>
      <c r="T35" s="13"/>
      <c r="U35" s="13"/>
      <c r="V35" s="13"/>
      <c r="W35" s="13"/>
      <c r="X35" s="13"/>
      <c r="Y35" s="13"/>
      <c r="Z35" s="13"/>
    </row>
    <row r="36" spans="1:26" s="4" customFormat="1" ht="13.5" customHeight="1">
      <c r="A36" s="374"/>
      <c r="B36" s="376"/>
      <c r="C36" s="376"/>
      <c r="D36" s="13"/>
      <c r="E36" s="13"/>
      <c r="F36" s="13"/>
      <c r="G36" s="13"/>
      <c r="H36" s="13"/>
      <c r="I36" s="13"/>
      <c r="J36" s="13"/>
      <c r="K36" s="13"/>
      <c r="L36" s="13"/>
      <c r="M36" s="13"/>
      <c r="N36" s="13"/>
      <c r="O36" s="13"/>
      <c r="P36" s="13"/>
      <c r="Q36" s="13"/>
      <c r="R36" s="13"/>
      <c r="S36" s="13"/>
      <c r="T36" s="13"/>
      <c r="U36" s="13"/>
      <c r="V36" s="13"/>
      <c r="W36" s="13"/>
      <c r="X36" s="13"/>
      <c r="Y36" s="13"/>
      <c r="Z36" s="13"/>
    </row>
    <row r="37" spans="1:26" s="4" customFormat="1" ht="13.5" customHeight="1">
      <c r="A37" s="22"/>
      <c r="B37" s="23"/>
      <c r="C37" s="23"/>
      <c r="D37" s="13"/>
      <c r="E37" s="13"/>
      <c r="F37" s="13"/>
      <c r="G37" s="13"/>
      <c r="H37" s="13"/>
      <c r="I37" s="13"/>
      <c r="J37" s="15"/>
      <c r="K37" s="13"/>
      <c r="L37" s="13"/>
      <c r="M37" s="13"/>
      <c r="N37" s="13"/>
      <c r="O37" s="13"/>
      <c r="P37" s="13"/>
      <c r="Q37" s="13"/>
      <c r="R37" s="13"/>
      <c r="S37" s="13"/>
      <c r="T37" s="13"/>
      <c r="U37" s="13"/>
      <c r="V37" s="13"/>
      <c r="W37" s="13"/>
      <c r="X37" s="13"/>
      <c r="Y37" s="13"/>
      <c r="Z37" s="13"/>
    </row>
    <row r="38" spans="1:26" ht="13.5" customHeight="1">
      <c r="A38" s="24"/>
      <c r="B38" s="25"/>
      <c r="C38" s="25"/>
      <c r="D38" s="5"/>
      <c r="E38" s="5"/>
      <c r="F38" s="5"/>
      <c r="G38" s="5"/>
      <c r="H38" s="5"/>
      <c r="I38" s="5"/>
      <c r="J38" s="17"/>
      <c r="K38" s="5"/>
      <c r="L38" s="5"/>
      <c r="M38" s="5"/>
      <c r="N38" s="5"/>
      <c r="O38" s="5"/>
      <c r="P38" s="5"/>
      <c r="Q38" s="5"/>
      <c r="R38" s="5"/>
      <c r="S38" s="5"/>
      <c r="T38" s="5"/>
      <c r="U38" s="5"/>
      <c r="V38" s="5"/>
      <c r="W38" s="5"/>
      <c r="X38" s="5"/>
      <c r="Y38" s="5"/>
      <c r="Z38" s="5"/>
    </row>
    <row r="39" spans="1:26" ht="13.5" customHeight="1" hidden="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hidden="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hidden="1">
      <c r="A41" s="428" t="s">
        <v>523</v>
      </c>
      <c r="B41" s="428"/>
      <c r="C41" s="428" t="s">
        <v>529</v>
      </c>
      <c r="D41" s="428"/>
      <c r="E41" s="428" t="s">
        <v>523</v>
      </c>
      <c r="F41" s="428"/>
      <c r="G41" s="428" t="s">
        <v>529</v>
      </c>
      <c r="H41" s="433"/>
      <c r="I41" s="5"/>
      <c r="J41" s="5"/>
      <c r="K41" s="5"/>
      <c r="L41" s="5"/>
      <c r="M41" s="5"/>
      <c r="N41" s="5"/>
      <c r="O41" s="5"/>
      <c r="P41" s="5"/>
      <c r="Q41" s="5"/>
      <c r="R41" s="5"/>
      <c r="S41" s="5"/>
      <c r="T41" s="5"/>
      <c r="U41" s="5"/>
      <c r="V41" s="5"/>
      <c r="W41" s="5"/>
      <c r="X41" s="5"/>
      <c r="Y41" s="5"/>
      <c r="Z41" s="5"/>
    </row>
    <row r="42" spans="1:26" ht="13.5" hidden="1" thickBot="1">
      <c r="A42" s="422" t="s">
        <v>527</v>
      </c>
      <c r="B42" s="422"/>
      <c r="C42" s="422" t="s">
        <v>527</v>
      </c>
      <c r="D42" s="422"/>
      <c r="E42" s="422" t="s">
        <v>528</v>
      </c>
      <c r="F42" s="422"/>
      <c r="G42" s="422" t="s">
        <v>528</v>
      </c>
      <c r="H42" s="423"/>
      <c r="I42" s="5"/>
      <c r="J42" s="5"/>
      <c r="K42" s="5"/>
      <c r="L42" s="5"/>
      <c r="M42" s="5"/>
      <c r="N42" s="5"/>
      <c r="O42" s="5"/>
      <c r="P42" s="5"/>
      <c r="Q42" s="5"/>
      <c r="R42" s="5"/>
      <c r="S42" s="5"/>
      <c r="T42" s="5"/>
      <c r="U42" s="5"/>
      <c r="V42" s="5"/>
      <c r="W42" s="5"/>
      <c r="X42" s="5"/>
      <c r="Y42" s="5"/>
      <c r="Z42" s="5"/>
    </row>
    <row r="43" spans="1:26" ht="12.75" hidden="1">
      <c r="A43" s="424">
        <f>'Ration Balancer'!C16</f>
        <v>25</v>
      </c>
      <c r="B43" s="424"/>
      <c r="C43" s="425">
        <f>$A$43/(SUM($A$43:$B$52))*100</f>
        <v>70.8215297450425</v>
      </c>
      <c r="D43" s="425"/>
      <c r="E43" s="426">
        <f>A43*'Ration Balancer'!E16/100</f>
        <v>22</v>
      </c>
      <c r="F43" s="426"/>
      <c r="G43" s="425">
        <f>$E$43/($E$43+$E$44+$E$45+$E$46+$E$47+$E$48+$E$49+$E$50+$E$51+$E$52)*100</f>
        <v>72.62883364695784</v>
      </c>
      <c r="H43" s="427"/>
      <c r="I43" s="5"/>
      <c r="J43" s="5"/>
      <c r="K43" s="5"/>
      <c r="L43" s="5"/>
      <c r="M43" s="5"/>
      <c r="N43" s="5"/>
      <c r="O43" s="5"/>
      <c r="P43" s="5"/>
      <c r="Q43" s="5"/>
      <c r="R43" s="5"/>
      <c r="S43" s="5"/>
      <c r="T43" s="5"/>
      <c r="U43" s="5"/>
      <c r="V43" s="5"/>
      <c r="W43" s="5"/>
      <c r="X43" s="5"/>
      <c r="Y43" s="5"/>
      <c r="Z43" s="5"/>
    </row>
    <row r="44" spans="1:26" ht="12.75" hidden="1">
      <c r="A44" s="424">
        <f>'Ration Balancer'!C17</f>
        <v>10</v>
      </c>
      <c r="B44" s="424"/>
      <c r="C44" s="425">
        <f>$A$44/(SUM($A$43:$B$52))*100</f>
        <v>28.328611898016998</v>
      </c>
      <c r="D44" s="425"/>
      <c r="E44" s="426">
        <f>A44*'Ration Balancer'!E17/100</f>
        <v>8</v>
      </c>
      <c r="F44" s="426"/>
      <c r="G44" s="425">
        <f>$E$44/($E$43+$E$44+$E$45+$E$46+$E$47+$E$48+$E$49+$E$50+$E$51+$E$52)*100</f>
        <v>26.410484962530123</v>
      </c>
      <c r="H44" s="427"/>
      <c r="I44" s="5"/>
      <c r="J44" s="5"/>
      <c r="K44" s="5"/>
      <c r="L44" s="5"/>
      <c r="M44" s="5"/>
      <c r="N44" s="5"/>
      <c r="O44" s="5"/>
      <c r="P44" s="5"/>
      <c r="Q44" s="5"/>
      <c r="R44" s="5"/>
      <c r="S44" s="5"/>
      <c r="T44" s="5"/>
      <c r="U44" s="5"/>
      <c r="V44" s="5"/>
      <c r="W44" s="5"/>
      <c r="X44" s="5"/>
      <c r="Y44" s="5"/>
      <c r="Z44" s="5"/>
    </row>
    <row r="45" spans="1:26" ht="12.75" hidden="1">
      <c r="A45" s="424">
        <f>'Ration Balancer'!C18</f>
        <v>0.3</v>
      </c>
      <c r="B45" s="424"/>
      <c r="C45" s="425">
        <f>$A$45/(SUM($A$43:$B$52))*100</f>
        <v>0.84985835694051</v>
      </c>
      <c r="D45" s="425"/>
      <c r="E45" s="426">
        <f>A45*'Ration Balancer'!E18/100</f>
        <v>0.291</v>
      </c>
      <c r="F45" s="426"/>
      <c r="G45" s="425">
        <f>$E$45/($E$43+$E$44+$E$45+$E$46+$E$47+$E$48+$E$49+$E$50+$E$51+$E$52)*100</f>
        <v>0.9606813905120332</v>
      </c>
      <c r="H45" s="427"/>
      <c r="I45" s="5"/>
      <c r="J45" s="5"/>
      <c r="K45" s="5"/>
      <c r="L45" s="5"/>
      <c r="M45" s="5"/>
      <c r="N45" s="5"/>
      <c r="O45" s="5"/>
      <c r="P45" s="5"/>
      <c r="Q45" s="5"/>
      <c r="R45" s="5"/>
      <c r="S45" s="5"/>
      <c r="T45" s="5"/>
      <c r="U45" s="5"/>
      <c r="V45" s="5"/>
      <c r="W45" s="5"/>
      <c r="X45" s="5"/>
      <c r="Y45" s="5"/>
      <c r="Z45" s="5"/>
    </row>
    <row r="46" spans="1:26" ht="12.75" hidden="1">
      <c r="A46" s="424">
        <f>'Ration Balancer'!C19</f>
        <v>0</v>
      </c>
      <c r="B46" s="424"/>
      <c r="C46" s="425">
        <f>$A$46/(SUM($A$43:$B$52))*100</f>
        <v>0</v>
      </c>
      <c r="D46" s="425"/>
      <c r="E46" s="426">
        <f>A46*'Ration Balancer'!E19/100</f>
        <v>0</v>
      </c>
      <c r="F46" s="426"/>
      <c r="G46" s="425">
        <f>$E$46/($E$43+$E$44+$E$45+$E$46+$E$47+$E$48+$E$49+$E$50+$E$51+$E$52)*100</f>
        <v>0</v>
      </c>
      <c r="H46" s="427"/>
      <c r="I46" s="5"/>
      <c r="J46" s="5"/>
      <c r="K46" s="5"/>
      <c r="L46" s="5"/>
      <c r="M46" s="5"/>
      <c r="N46" s="5"/>
      <c r="O46" s="5"/>
      <c r="P46" s="5"/>
      <c r="Q46" s="5"/>
      <c r="R46" s="5"/>
      <c r="S46" s="5"/>
      <c r="T46" s="5"/>
      <c r="U46" s="5"/>
      <c r="V46" s="5"/>
      <c r="W46" s="5"/>
      <c r="X46" s="5"/>
      <c r="Y46" s="5"/>
      <c r="Z46" s="5"/>
    </row>
    <row r="47" spans="1:26" ht="12.75" hidden="1">
      <c r="A47" s="424">
        <f>'Ration Balancer'!C20</f>
        <v>0</v>
      </c>
      <c r="B47" s="424"/>
      <c r="C47" s="425">
        <f>$A$47/(SUM($A$43:$B$52))*100</f>
        <v>0</v>
      </c>
      <c r="D47" s="425"/>
      <c r="E47" s="426">
        <f>A47*'Ration Balancer'!E20/100</f>
        <v>0</v>
      </c>
      <c r="F47" s="426"/>
      <c r="G47" s="425">
        <f>$E$47/($E$43+$E$44+$E$45+$E$46+$E$47+$E$48+$E$49+$E$50+$E$51+$E$52)*100</f>
        <v>0</v>
      </c>
      <c r="H47" s="427"/>
      <c r="I47" s="5"/>
      <c r="J47" s="5"/>
      <c r="K47" s="5"/>
      <c r="L47" s="5"/>
      <c r="M47" s="5"/>
      <c r="N47" s="5"/>
      <c r="O47" s="5"/>
      <c r="P47" s="5"/>
      <c r="Q47" s="5"/>
      <c r="R47" s="5"/>
      <c r="S47" s="5"/>
      <c r="T47" s="5"/>
      <c r="U47" s="5"/>
      <c r="V47" s="5"/>
      <c r="W47" s="5"/>
      <c r="X47" s="5"/>
      <c r="Y47" s="5"/>
      <c r="Z47" s="5"/>
    </row>
    <row r="48" spans="1:26" ht="12.75" hidden="1">
      <c r="A48" s="424">
        <f>'Ration Balancer'!C21</f>
        <v>0</v>
      </c>
      <c r="B48" s="424"/>
      <c r="C48" s="425">
        <f>$A$48/(SUM($A$43:$B$52))*100</f>
        <v>0</v>
      </c>
      <c r="D48" s="425"/>
      <c r="E48" s="426">
        <f>A48*'Ration Balancer'!E21/100</f>
        <v>0</v>
      </c>
      <c r="F48" s="426"/>
      <c r="G48" s="425">
        <f>$E$48/($E$43+$E$44+$E$45+$E$46+$E$47+$E$48+$E$49+$E$50+$E$51+$E$52)*100</f>
        <v>0</v>
      </c>
      <c r="H48" s="427"/>
      <c r="I48" s="5"/>
      <c r="J48" s="5"/>
      <c r="K48" s="5"/>
      <c r="L48" s="5"/>
      <c r="M48" s="5"/>
      <c r="N48" s="5"/>
      <c r="O48" s="5"/>
      <c r="P48" s="5"/>
      <c r="Q48" s="5"/>
      <c r="R48" s="5"/>
      <c r="S48" s="5"/>
      <c r="T48" s="5"/>
      <c r="U48" s="5"/>
      <c r="V48" s="5"/>
      <c r="W48" s="5"/>
      <c r="X48" s="5"/>
      <c r="Y48" s="5"/>
      <c r="Z48" s="5"/>
    </row>
    <row r="49" spans="1:26" ht="12.75" hidden="1">
      <c r="A49" s="424">
        <f>'Ration Balancer'!C22</f>
        <v>0</v>
      </c>
      <c r="B49" s="424"/>
      <c r="C49" s="425">
        <f>$A$49/(SUM($A$43:$B$52))*100</f>
        <v>0</v>
      </c>
      <c r="D49" s="425"/>
      <c r="E49" s="426">
        <f>A49*'Ration Balancer'!E22/100</f>
        <v>0</v>
      </c>
      <c r="F49" s="426"/>
      <c r="G49" s="425">
        <f>$E$49/($E$43+$E$44+$E$45+$E$46+$E$47+$E$48+$E$49+$E$50+$E$51+$E$52)*100</f>
        <v>0</v>
      </c>
      <c r="H49" s="427"/>
      <c r="I49" s="5"/>
      <c r="J49" s="5"/>
      <c r="K49" s="5"/>
      <c r="L49" s="5"/>
      <c r="M49" s="5"/>
      <c r="N49" s="5"/>
      <c r="O49" s="5"/>
      <c r="P49" s="5"/>
      <c r="Q49" s="5"/>
      <c r="R49" s="5"/>
      <c r="S49" s="5"/>
      <c r="T49" s="5"/>
      <c r="U49" s="5"/>
      <c r="V49" s="5"/>
      <c r="W49" s="5"/>
      <c r="X49" s="5"/>
      <c r="Y49" s="5"/>
      <c r="Z49" s="5"/>
    </row>
    <row r="50" spans="1:26" ht="12.75" hidden="1">
      <c r="A50" s="424">
        <f>'Ration Balancer'!C23</f>
        <v>0</v>
      </c>
      <c r="B50" s="424"/>
      <c r="C50" s="425">
        <f>$A$50/(SUM($A$43:$B$52))*100</f>
        <v>0</v>
      </c>
      <c r="D50" s="425"/>
      <c r="E50" s="426">
        <f>A50*'Ration Balancer'!E23/100</f>
        <v>0</v>
      </c>
      <c r="F50" s="426"/>
      <c r="G50" s="425">
        <f>$E$50/($E$43+$E$44+$E$45+$E$46+$E$47+$E$48+$E$49+$E$50+$E$51+$E$52)*100</f>
        <v>0</v>
      </c>
      <c r="H50" s="427"/>
      <c r="I50" s="5"/>
      <c r="J50" s="5"/>
      <c r="K50" s="5"/>
      <c r="L50" s="5"/>
      <c r="M50" s="5"/>
      <c r="N50" s="5"/>
      <c r="O50" s="5"/>
      <c r="P50" s="5"/>
      <c r="Q50" s="5"/>
      <c r="R50" s="5"/>
      <c r="S50" s="5"/>
      <c r="T50" s="5"/>
      <c r="U50" s="5"/>
      <c r="V50" s="5"/>
      <c r="W50" s="5"/>
      <c r="X50" s="5"/>
      <c r="Y50" s="5"/>
      <c r="Z50" s="5"/>
    </row>
    <row r="51" spans="1:26" ht="12.75" hidden="1">
      <c r="A51" s="424">
        <f>'Ration Balancer'!C24</f>
        <v>0</v>
      </c>
      <c r="B51" s="424"/>
      <c r="C51" s="425">
        <f>$A$51/(SUM($A$43:$B$52))*100</f>
        <v>0</v>
      </c>
      <c r="D51" s="425"/>
      <c r="E51" s="426">
        <f>A51*'Ration Balancer'!E24/100</f>
        <v>0</v>
      </c>
      <c r="F51" s="426"/>
      <c r="G51" s="425">
        <f>$E$51/($E$43+$E$44+$E$45+$E$46+$E$47+$E$48+$E$49+$E$50+$E$51+$E$52)*100</f>
        <v>0</v>
      </c>
      <c r="H51" s="427"/>
      <c r="I51" s="5"/>
      <c r="J51" s="5"/>
      <c r="K51" s="5"/>
      <c r="L51" s="5"/>
      <c r="M51" s="5"/>
      <c r="N51" s="5"/>
      <c r="O51" s="5"/>
      <c r="P51" s="5"/>
      <c r="Q51" s="5"/>
      <c r="R51" s="5"/>
      <c r="S51" s="5"/>
      <c r="T51" s="5"/>
      <c r="U51" s="5"/>
      <c r="V51" s="5"/>
      <c r="W51" s="5"/>
      <c r="X51" s="5"/>
      <c r="Y51" s="5"/>
      <c r="Z51" s="5"/>
    </row>
    <row r="52" spans="1:26" ht="12.75" hidden="1">
      <c r="A52" s="424">
        <f>'Ration Balancer'!C25</f>
        <v>0</v>
      </c>
      <c r="B52" s="424"/>
      <c r="C52" s="425">
        <f>$A$52/(SUM($A$43:$B$52))*100</f>
        <v>0</v>
      </c>
      <c r="D52" s="425"/>
      <c r="E52" s="426">
        <f>A52*'Ration Balancer'!E25/100</f>
        <v>0</v>
      </c>
      <c r="F52" s="426"/>
      <c r="G52" s="425">
        <f>$E$52/($E$43+$E$44+$E$45+$E$46+$E$47+$E$48+$E$49+$E$50+$E$51+$E$52)*100</f>
        <v>0</v>
      </c>
      <c r="H52" s="427"/>
      <c r="I52" s="5"/>
      <c r="J52" s="5"/>
      <c r="K52" s="5"/>
      <c r="L52" s="5"/>
      <c r="M52" s="5"/>
      <c r="N52" s="5"/>
      <c r="O52" s="5"/>
      <c r="P52" s="5"/>
      <c r="Q52" s="5"/>
      <c r="R52" s="5"/>
      <c r="S52" s="5"/>
      <c r="T52" s="5"/>
      <c r="U52" s="5"/>
      <c r="V52" s="5"/>
      <c r="W52" s="5"/>
      <c r="X52" s="5"/>
      <c r="Y52" s="5"/>
      <c r="Z52" s="5"/>
    </row>
    <row r="53" spans="1:26" ht="13.5" hidden="1" thickBot="1">
      <c r="A53" s="429">
        <f>SUM(A43:B52)</f>
        <v>35.3</v>
      </c>
      <c r="B53" s="430"/>
      <c r="C53" s="431">
        <f>SUM(C43:D52)</f>
        <v>100.00000000000001</v>
      </c>
      <c r="D53" s="430"/>
      <c r="E53" s="429">
        <f>SUM(E43:F52)</f>
        <v>30.291</v>
      </c>
      <c r="F53" s="430"/>
      <c r="G53" s="431">
        <f>SUM(G43:H52)</f>
        <v>100</v>
      </c>
      <c r="H53" s="432"/>
      <c r="I53" s="5"/>
      <c r="J53" s="5"/>
      <c r="K53" s="5"/>
      <c r="L53" s="5"/>
      <c r="M53" s="5"/>
      <c r="N53" s="5"/>
      <c r="O53" s="5"/>
      <c r="P53" s="5"/>
      <c r="Q53" s="5"/>
      <c r="R53" s="5"/>
      <c r="S53" s="5"/>
      <c r="T53" s="5"/>
      <c r="U53" s="5"/>
      <c r="V53" s="5"/>
      <c r="W53" s="5"/>
      <c r="X53" s="5"/>
      <c r="Y53" s="5"/>
      <c r="Z53" s="5"/>
    </row>
    <row r="54" spans="1:26" ht="12.75" hidden="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hidden="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hidden="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hidden="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hidden="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hidden="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hidden="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hidden="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hidden="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3" ht="12.75">
      <c r="A246" s="2"/>
      <c r="B246" s="2"/>
      <c r="C246" s="2"/>
    </row>
  </sheetData>
  <sheetProtection password="E1D3" sheet="1" objects="1" scenarios="1" formatColumns="0" formatRows="0" selectLockedCells="1" selectUnlockedCells="1"/>
  <mergeCells count="131">
    <mergeCell ref="C41:D41"/>
    <mergeCell ref="E41:F41"/>
    <mergeCell ref="G41:H41"/>
    <mergeCell ref="A52:B52"/>
    <mergeCell ref="C52:D52"/>
    <mergeCell ref="E52:F52"/>
    <mergeCell ref="G52:H52"/>
    <mergeCell ref="E51:F51"/>
    <mergeCell ref="G51:H51"/>
    <mergeCell ref="A48:B48"/>
    <mergeCell ref="A53:B53"/>
    <mergeCell ref="C53:D53"/>
    <mergeCell ref="E53:F53"/>
    <mergeCell ref="G53:H53"/>
    <mergeCell ref="A50:B50"/>
    <mergeCell ref="C50:D50"/>
    <mergeCell ref="E50:F50"/>
    <mergeCell ref="G50:H50"/>
    <mergeCell ref="A51:B51"/>
    <mergeCell ref="C51:D51"/>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4:B44"/>
    <mergeCell ref="C44:D44"/>
    <mergeCell ref="E44:F44"/>
    <mergeCell ref="G44:H44"/>
    <mergeCell ref="A45:B45"/>
    <mergeCell ref="C45:D45"/>
    <mergeCell ref="E45:F45"/>
    <mergeCell ref="G45:H45"/>
    <mergeCell ref="G17:H17"/>
    <mergeCell ref="A42:B42"/>
    <mergeCell ref="C42:D42"/>
    <mergeCell ref="E42:F42"/>
    <mergeCell ref="G42:H42"/>
    <mergeCell ref="A43:B43"/>
    <mergeCell ref="C43:D43"/>
    <mergeCell ref="E43:F43"/>
    <mergeCell ref="G43:H43"/>
    <mergeCell ref="A41:B41"/>
    <mergeCell ref="E9:F9"/>
    <mergeCell ref="E10:F10"/>
    <mergeCell ref="G8:H8"/>
    <mergeCell ref="G9:H9"/>
    <mergeCell ref="G10:H10"/>
    <mergeCell ref="G18:H18"/>
    <mergeCell ref="G12:H12"/>
    <mergeCell ref="G13:H13"/>
    <mergeCell ref="G14:H14"/>
    <mergeCell ref="G15:H15"/>
    <mergeCell ref="A7:C7"/>
    <mergeCell ref="E7:H7"/>
    <mergeCell ref="G11:H11"/>
    <mergeCell ref="B10:D10"/>
    <mergeCell ref="E11:F11"/>
    <mergeCell ref="I10:K10"/>
    <mergeCell ref="I8:N8"/>
    <mergeCell ref="B9:D9"/>
    <mergeCell ref="I9:K9"/>
    <mergeCell ref="E8:F8"/>
    <mergeCell ref="L9:N9"/>
    <mergeCell ref="B8:D8"/>
    <mergeCell ref="A5:N6"/>
    <mergeCell ref="L12:N12"/>
    <mergeCell ref="L10:N10"/>
    <mergeCell ref="B11:D11"/>
    <mergeCell ref="I11:K11"/>
    <mergeCell ref="L11:N11"/>
    <mergeCell ref="B12:D12"/>
    <mergeCell ref="I12:K12"/>
    <mergeCell ref="E12:F12"/>
    <mergeCell ref="E13:F13"/>
    <mergeCell ref="E14:F14"/>
    <mergeCell ref="E15:F15"/>
    <mergeCell ref="E16:F16"/>
    <mergeCell ref="E17:F17"/>
    <mergeCell ref="B13:D13"/>
    <mergeCell ref="I13:K13"/>
    <mergeCell ref="L13:N13"/>
    <mergeCell ref="B25:C25"/>
    <mergeCell ref="E18:F18"/>
    <mergeCell ref="E19:F19"/>
    <mergeCell ref="E20:F20"/>
    <mergeCell ref="B24:C24"/>
    <mergeCell ref="A22:D23"/>
    <mergeCell ref="E22:H23"/>
    <mergeCell ref="B19:D19"/>
    <mergeCell ref="I19:K19"/>
    <mergeCell ref="L19:N19"/>
    <mergeCell ref="I20:K20"/>
    <mergeCell ref="L20:N20"/>
    <mergeCell ref="B26:C26"/>
    <mergeCell ref="B20:D20"/>
    <mergeCell ref="G19:H19"/>
    <mergeCell ref="G20:H20"/>
    <mergeCell ref="B17:D17"/>
    <mergeCell ref="I17:K17"/>
    <mergeCell ref="L17:N17"/>
    <mergeCell ref="B27:C27"/>
    <mergeCell ref="B14:D14"/>
    <mergeCell ref="I14:K14"/>
    <mergeCell ref="L14:N14"/>
    <mergeCell ref="B18:D18"/>
    <mergeCell ref="I18:K18"/>
    <mergeCell ref="L18:N18"/>
    <mergeCell ref="B15:D15"/>
    <mergeCell ref="I15:K15"/>
    <mergeCell ref="L15:N15"/>
    <mergeCell ref="B16:D16"/>
    <mergeCell ref="I16:K16"/>
    <mergeCell ref="L16:N16"/>
    <mergeCell ref="G16:H16"/>
    <mergeCell ref="A35:A36"/>
    <mergeCell ref="B35:C36"/>
    <mergeCell ref="A31:A32"/>
    <mergeCell ref="B31:C32"/>
    <mergeCell ref="A33:A34"/>
    <mergeCell ref="B28:C28"/>
  </mergeCells>
  <hyperlinks>
    <hyperlink ref="J4" r:id="rId1" display="boers010@umn.edu"/>
  </hyperlinks>
  <printOptions/>
  <pageMargins left="0.5" right="0.5" top="0.5" bottom="0.5" header="0.5" footer="0.5"/>
  <pageSetup horizontalDpi="600" verticalDpi="600" orientation="landscape"/>
  <drawing r:id="rId2"/>
</worksheet>
</file>

<file path=xl/worksheets/sheet4.xml><?xml version="1.0" encoding="utf-8"?>
<worksheet xmlns="http://schemas.openxmlformats.org/spreadsheetml/2006/main" xmlns:r="http://schemas.openxmlformats.org/officeDocument/2006/relationships">
  <sheetPr>
    <tabColor indexed="16"/>
  </sheetPr>
  <dimension ref="A1:AJ70"/>
  <sheetViews>
    <sheetView showRowColHeaders="0" zoomScalePageLayoutView="0" workbookViewId="0" topLeftCell="A4">
      <selection activeCell="T3" sqref="T3"/>
    </sheetView>
  </sheetViews>
  <sheetFormatPr defaultColWidth="8.8515625" defaultRowHeight="12.75"/>
  <cols>
    <col min="1" max="1" width="34.140625" style="0" customWidth="1"/>
    <col min="2" max="2" width="7.140625" style="0" hidden="1" customWidth="1"/>
    <col min="3" max="9" width="4.7109375" style="0" hidden="1" customWidth="1"/>
    <col min="10" max="13" width="6.7109375" style="0" customWidth="1"/>
    <col min="14" max="17" width="9.7109375" style="0" customWidth="1"/>
    <col min="18" max="21" width="6.7109375" style="0" customWidth="1"/>
    <col min="22" max="22" width="4.7109375" style="0" customWidth="1"/>
  </cols>
  <sheetData>
    <row r="1" spans="1:36" s="3" customFormat="1" ht="18" customHeight="1">
      <c r="A1" s="5"/>
      <c r="B1" s="5"/>
      <c r="C1" s="5"/>
      <c r="D1" s="5"/>
      <c r="E1" s="5"/>
      <c r="F1" s="5"/>
      <c r="G1" s="5"/>
      <c r="H1" s="5"/>
      <c r="I1" s="5"/>
      <c r="J1" s="5"/>
      <c r="K1" s="5"/>
      <c r="L1" s="5"/>
      <c r="M1" s="5"/>
      <c r="N1" s="5"/>
      <c r="O1" s="5"/>
      <c r="P1" s="5"/>
      <c r="Q1" s="6" t="s">
        <v>290</v>
      </c>
      <c r="R1" s="33"/>
      <c r="S1" s="5"/>
      <c r="T1" s="5"/>
      <c r="U1" s="5"/>
      <c r="V1" s="5"/>
      <c r="W1" s="5"/>
      <c r="X1" s="5"/>
      <c r="Y1" s="5"/>
      <c r="Z1" s="5"/>
      <c r="AA1" s="5"/>
      <c r="AB1" s="5"/>
      <c r="AC1" s="5"/>
      <c r="AD1" s="5"/>
      <c r="AE1" s="5"/>
      <c r="AF1" s="5"/>
      <c r="AG1" s="5"/>
      <c r="AH1" s="5"/>
      <c r="AI1" s="5"/>
      <c r="AJ1" s="5"/>
    </row>
    <row r="2" spans="1:36" s="3" customFormat="1" ht="18" customHeight="1">
      <c r="A2" s="5"/>
      <c r="B2" s="5"/>
      <c r="C2" s="5"/>
      <c r="D2" s="5"/>
      <c r="E2" s="5"/>
      <c r="F2" s="5"/>
      <c r="G2" s="5"/>
      <c r="H2" s="5"/>
      <c r="I2" s="5"/>
      <c r="J2" s="5"/>
      <c r="K2" s="5"/>
      <c r="L2" s="5"/>
      <c r="M2" s="5"/>
      <c r="N2" s="5"/>
      <c r="O2" s="5"/>
      <c r="P2" s="5"/>
      <c r="Q2" s="7" t="s">
        <v>291</v>
      </c>
      <c r="R2" s="16"/>
      <c r="S2" s="5"/>
      <c r="T2" s="5"/>
      <c r="U2" s="5"/>
      <c r="V2" s="5"/>
      <c r="W2" s="5"/>
      <c r="X2" s="5"/>
      <c r="Y2" s="5"/>
      <c r="Z2" s="5"/>
      <c r="AA2" s="5"/>
      <c r="AB2" s="5"/>
      <c r="AC2" s="5"/>
      <c r="AD2" s="5"/>
      <c r="AE2" s="5"/>
      <c r="AF2" s="5"/>
      <c r="AG2" s="5"/>
      <c r="AH2" s="5"/>
      <c r="AI2" s="5"/>
      <c r="AJ2" s="5"/>
    </row>
    <row r="3" spans="1:36" s="3" customFormat="1" ht="18" customHeight="1">
      <c r="A3" s="5"/>
      <c r="B3" s="5"/>
      <c r="C3" s="5"/>
      <c r="D3" s="5"/>
      <c r="E3" s="5"/>
      <c r="F3" s="5"/>
      <c r="G3" s="5"/>
      <c r="H3" s="5"/>
      <c r="I3" s="5"/>
      <c r="J3" s="5"/>
      <c r="K3" s="5"/>
      <c r="L3" s="5"/>
      <c r="M3" s="5"/>
      <c r="N3" s="5"/>
      <c r="O3" s="5"/>
      <c r="P3" s="5"/>
      <c r="Q3" s="7" t="s">
        <v>292</v>
      </c>
      <c r="R3" s="16"/>
      <c r="S3" s="5"/>
      <c r="T3" s="5"/>
      <c r="U3" s="5"/>
      <c r="V3" s="5"/>
      <c r="W3" s="5"/>
      <c r="X3" s="5"/>
      <c r="Y3" s="5"/>
      <c r="Z3" s="5"/>
      <c r="AA3" s="5"/>
      <c r="AB3" s="5"/>
      <c r="AC3" s="5"/>
      <c r="AD3" s="5"/>
      <c r="AE3" s="5"/>
      <c r="AF3" s="5"/>
      <c r="AG3" s="5"/>
      <c r="AH3" s="5"/>
      <c r="AI3" s="5"/>
      <c r="AJ3" s="5"/>
    </row>
    <row r="4" spans="1:36" s="3" customFormat="1" ht="18" customHeight="1">
      <c r="A4" s="5"/>
      <c r="B4" s="5"/>
      <c r="C4" s="5"/>
      <c r="D4" s="5"/>
      <c r="E4" s="5"/>
      <c r="F4" s="5"/>
      <c r="G4" s="5"/>
      <c r="H4" s="5"/>
      <c r="I4" s="5"/>
      <c r="J4" s="5"/>
      <c r="K4" s="5"/>
      <c r="L4" s="5"/>
      <c r="M4" s="5"/>
      <c r="N4" s="5"/>
      <c r="O4" s="5"/>
      <c r="P4" s="5"/>
      <c r="Q4" s="8" t="s">
        <v>293</v>
      </c>
      <c r="R4" s="34"/>
      <c r="S4" s="5"/>
      <c r="T4" s="5"/>
      <c r="U4" s="5"/>
      <c r="V4" s="5"/>
      <c r="W4" s="5"/>
      <c r="X4" s="5"/>
      <c r="Y4" s="5"/>
      <c r="Z4" s="5"/>
      <c r="AA4" s="5"/>
      <c r="AB4" s="5"/>
      <c r="AC4" s="5"/>
      <c r="AD4" s="5"/>
      <c r="AE4" s="5"/>
      <c r="AF4" s="5"/>
      <c r="AG4" s="5"/>
      <c r="AH4" s="5"/>
      <c r="AI4" s="5"/>
      <c r="AJ4" s="5"/>
    </row>
    <row r="5" spans="1:36" s="4" customFormat="1" ht="18" customHeight="1">
      <c r="A5" s="463" t="s">
        <v>421</v>
      </c>
      <c r="B5" s="464"/>
      <c r="C5" s="464"/>
      <c r="D5" s="464"/>
      <c r="E5" s="464"/>
      <c r="F5" s="464"/>
      <c r="G5" s="464"/>
      <c r="H5" s="464"/>
      <c r="I5" s="464"/>
      <c r="J5" s="464"/>
      <c r="K5" s="464"/>
      <c r="L5" s="464"/>
      <c r="M5" s="464"/>
      <c r="N5" s="464"/>
      <c r="O5" s="464"/>
      <c r="P5" s="464"/>
      <c r="Q5" s="464"/>
      <c r="R5" s="464"/>
      <c r="S5" s="464"/>
      <c r="T5" s="464"/>
      <c r="U5" s="13"/>
      <c r="V5" s="16"/>
      <c r="W5" s="12"/>
      <c r="X5" s="12"/>
      <c r="Y5" s="12"/>
      <c r="Z5" s="12"/>
      <c r="AA5" s="12"/>
      <c r="AB5" s="12"/>
      <c r="AC5" s="12"/>
      <c r="AD5" s="12"/>
      <c r="AE5" s="12"/>
      <c r="AF5" s="12"/>
      <c r="AG5" s="12"/>
      <c r="AH5" s="12"/>
      <c r="AI5" s="13"/>
      <c r="AJ5" s="13"/>
    </row>
    <row r="6" spans="1:36" s="4" customFormat="1" ht="20.25" customHeight="1">
      <c r="A6" s="463"/>
      <c r="B6" s="464"/>
      <c r="C6" s="464"/>
      <c r="D6" s="464"/>
      <c r="E6" s="464"/>
      <c r="F6" s="464"/>
      <c r="G6" s="464"/>
      <c r="H6" s="464"/>
      <c r="I6" s="464"/>
      <c r="J6" s="464"/>
      <c r="K6" s="464"/>
      <c r="L6" s="464"/>
      <c r="M6" s="464"/>
      <c r="N6" s="464"/>
      <c r="O6" s="464"/>
      <c r="P6" s="464"/>
      <c r="Q6" s="464"/>
      <c r="R6" s="464"/>
      <c r="S6" s="464"/>
      <c r="T6" s="464"/>
      <c r="U6" s="13"/>
      <c r="V6" s="16"/>
      <c r="W6" s="12"/>
      <c r="X6" s="12"/>
      <c r="Y6" s="12"/>
      <c r="Z6" s="12"/>
      <c r="AA6" s="12"/>
      <c r="AB6" s="12"/>
      <c r="AC6" s="12"/>
      <c r="AD6" s="12"/>
      <c r="AE6" s="12"/>
      <c r="AF6" s="12"/>
      <c r="AG6" s="12"/>
      <c r="AH6" s="12"/>
      <c r="AI6" s="13"/>
      <c r="AJ6" s="13"/>
    </row>
    <row r="7" spans="1:36" s="4" customFormat="1" ht="13.5" customHeight="1" thickBot="1">
      <c r="A7" s="465"/>
      <c r="B7" s="465"/>
      <c r="C7" s="465"/>
      <c r="D7" s="465"/>
      <c r="E7" s="465"/>
      <c r="F7" s="465"/>
      <c r="G7" s="465"/>
      <c r="H7" s="465"/>
      <c r="I7" s="465"/>
      <c r="J7" s="465"/>
      <c r="K7" s="465"/>
      <c r="L7" s="465"/>
      <c r="M7" s="465"/>
      <c r="N7" s="465"/>
      <c r="O7" s="465"/>
      <c r="P7" s="465"/>
      <c r="Q7" s="465"/>
      <c r="R7" s="465"/>
      <c r="S7" s="465"/>
      <c r="T7" s="465"/>
      <c r="U7" s="90"/>
      <c r="V7" s="32"/>
      <c r="W7" s="12"/>
      <c r="X7" s="12"/>
      <c r="Y7" s="12"/>
      <c r="Z7" s="12"/>
      <c r="AA7" s="12"/>
      <c r="AB7" s="12"/>
      <c r="AC7" s="12"/>
      <c r="AD7" s="12"/>
      <c r="AE7" s="12"/>
      <c r="AF7" s="12"/>
      <c r="AG7" s="12"/>
      <c r="AH7" s="13"/>
      <c r="AI7" s="13"/>
      <c r="AJ7" s="13"/>
    </row>
    <row r="8" spans="1:36" s="4" customFormat="1" ht="15.75" customHeight="1">
      <c r="A8" s="95" t="s">
        <v>411</v>
      </c>
      <c r="B8" s="334" t="s">
        <v>523</v>
      </c>
      <c r="C8" s="334"/>
      <c r="D8" s="334" t="s">
        <v>529</v>
      </c>
      <c r="E8" s="334"/>
      <c r="F8" s="334" t="s">
        <v>523</v>
      </c>
      <c r="G8" s="334"/>
      <c r="H8" s="334" t="s">
        <v>529</v>
      </c>
      <c r="I8" s="373"/>
      <c r="J8" s="473" t="s">
        <v>524</v>
      </c>
      <c r="K8" s="334"/>
      <c r="L8" s="342" t="s">
        <v>524</v>
      </c>
      <c r="M8" s="342"/>
      <c r="N8" s="342" t="s">
        <v>2</v>
      </c>
      <c r="O8" s="342"/>
      <c r="P8" s="342" t="s">
        <v>3</v>
      </c>
      <c r="Q8" s="342"/>
      <c r="R8" s="334" t="s">
        <v>524</v>
      </c>
      <c r="S8" s="469"/>
      <c r="T8" s="334" t="s">
        <v>416</v>
      </c>
      <c r="U8" s="466"/>
      <c r="V8" s="16"/>
      <c r="W8" s="12"/>
      <c r="X8" s="12"/>
      <c r="Y8" s="12"/>
      <c r="Z8" s="12"/>
      <c r="AA8" s="12"/>
      <c r="AB8" s="12"/>
      <c r="AC8" s="12"/>
      <c r="AD8" s="12"/>
      <c r="AE8" s="12"/>
      <c r="AF8" s="12"/>
      <c r="AG8" s="13"/>
      <c r="AH8" s="13"/>
      <c r="AI8" s="13"/>
      <c r="AJ8" s="13"/>
    </row>
    <row r="9" spans="1:36" s="4" customFormat="1" ht="15.75" customHeight="1" thickBot="1">
      <c r="A9" s="96"/>
      <c r="B9" s="329" t="s">
        <v>527</v>
      </c>
      <c r="C9" s="329"/>
      <c r="D9" s="329" t="s">
        <v>527</v>
      </c>
      <c r="E9" s="329"/>
      <c r="F9" s="329" t="s">
        <v>528</v>
      </c>
      <c r="G9" s="329"/>
      <c r="H9" s="329" t="s">
        <v>528</v>
      </c>
      <c r="I9" s="472"/>
      <c r="J9" s="474" t="s">
        <v>525</v>
      </c>
      <c r="K9" s="329"/>
      <c r="L9" s="343" t="s">
        <v>415</v>
      </c>
      <c r="M9" s="343"/>
      <c r="N9" s="343" t="s">
        <v>157</v>
      </c>
      <c r="O9" s="343"/>
      <c r="P9" s="343" t="s">
        <v>160</v>
      </c>
      <c r="Q9" s="343"/>
      <c r="R9" s="329" t="s">
        <v>602</v>
      </c>
      <c r="S9" s="470"/>
      <c r="T9" s="329" t="s">
        <v>471</v>
      </c>
      <c r="U9" s="467"/>
      <c r="V9" s="16"/>
      <c r="W9" s="12"/>
      <c r="X9" s="12"/>
      <c r="Y9" s="12"/>
      <c r="Z9" s="12"/>
      <c r="AA9" s="12"/>
      <c r="AB9" s="12"/>
      <c r="AC9" s="12"/>
      <c r="AD9" s="12"/>
      <c r="AE9" s="12"/>
      <c r="AF9" s="12"/>
      <c r="AG9" s="13"/>
      <c r="AH9" s="13"/>
      <c r="AI9" s="13"/>
      <c r="AJ9" s="13"/>
    </row>
    <row r="10" spans="1:36" s="4" customFormat="1" ht="15.75" customHeight="1">
      <c r="A10" s="92" t="str">
        <f>'Ration Balancer'!A16</f>
        <v>Alfalfa Hay Mature</v>
      </c>
      <c r="B10" s="460">
        <f>'Ration Balancer'!C16</f>
        <v>25</v>
      </c>
      <c r="C10" s="460"/>
      <c r="D10" s="458">
        <f aca="true" t="shared" si="0" ref="D10:D19">B10/($B$10+$B$11+$B$12+$B$13+$B$14+$B$15+$B$16+$B$17+$B$18+$B$19)*100</f>
        <v>70.8215297450425</v>
      </c>
      <c r="E10" s="458"/>
      <c r="F10" s="461">
        <f>B10*'Ration Balancer'!E16/100</f>
        <v>22</v>
      </c>
      <c r="G10" s="461"/>
      <c r="H10" s="458">
        <f aca="true" t="shared" si="1" ref="H10:H19">F10/($F$10+F$11+F$12+F$13+F$14+F$15+F$16+F$17+F$18+F$19)*100</f>
        <v>72.62883364695784</v>
      </c>
      <c r="I10" s="459"/>
      <c r="J10" s="451">
        <f>'Ration Balancer'!B16</f>
        <v>175</v>
      </c>
      <c r="K10" s="446"/>
      <c r="L10" s="446">
        <f>J10/('Ration Balancer'!E16/100)</f>
        <v>198.86363636363637</v>
      </c>
      <c r="M10" s="446"/>
      <c r="N10" s="446">
        <f>L10/('Ration Balancer'!J16/100)</f>
        <v>1529.7202797202797</v>
      </c>
      <c r="O10" s="446"/>
      <c r="P10" s="446">
        <f>(L10/('Ration Balancer'!G16*20))*1000</f>
        <v>198.86363636363637</v>
      </c>
      <c r="Q10" s="446"/>
      <c r="R10" s="446">
        <f aca="true" t="shared" si="2" ref="R10:R19">(J10/2000)*B10</f>
        <v>2.1875</v>
      </c>
      <c r="S10" s="471"/>
      <c r="T10" s="446">
        <f>(Summary!L10)*J10</f>
        <v>6562.5</v>
      </c>
      <c r="U10" s="478"/>
      <c r="V10" s="16"/>
      <c r="W10" s="12"/>
      <c r="X10" s="12"/>
      <c r="Y10" s="12"/>
      <c r="Z10" s="12"/>
      <c r="AA10" s="12"/>
      <c r="AB10" s="12"/>
      <c r="AC10" s="12"/>
      <c r="AD10" s="12"/>
      <c r="AE10" s="12"/>
      <c r="AF10" s="12"/>
      <c r="AG10" s="13"/>
      <c r="AH10" s="13"/>
      <c r="AI10" s="13"/>
      <c r="AJ10" s="13"/>
    </row>
    <row r="11" spans="1:36" s="4" customFormat="1" ht="15.75" customHeight="1">
      <c r="A11" s="94" t="str">
        <f>'Ration Balancer'!A17</f>
        <v>Corn Stover Mature (Stalks)</v>
      </c>
      <c r="B11" s="455">
        <f>'Ration Balancer'!C17</f>
        <v>10</v>
      </c>
      <c r="C11" s="455"/>
      <c r="D11" s="449">
        <f t="shared" si="0"/>
        <v>28.328611898016998</v>
      </c>
      <c r="E11" s="449"/>
      <c r="F11" s="462">
        <f>B11*'Ration Balancer'!E17/100</f>
        <v>8</v>
      </c>
      <c r="G11" s="462"/>
      <c r="H11" s="449">
        <f t="shared" si="1"/>
        <v>26.410484962530123</v>
      </c>
      <c r="I11" s="450"/>
      <c r="J11" s="452">
        <f>'Ration Balancer'!B17</f>
        <v>50</v>
      </c>
      <c r="K11" s="445"/>
      <c r="L11" s="445">
        <f>J11/('Ration Balancer'!E17/100)</f>
        <v>62.5</v>
      </c>
      <c r="M11" s="445"/>
      <c r="N11" s="445">
        <f>L11/('Ration Balancer'!J17/100)</f>
        <v>1250</v>
      </c>
      <c r="O11" s="445"/>
      <c r="P11" s="445">
        <f>(L11/('Ration Balancer'!G17*20))*1000</f>
        <v>55.80357142857143</v>
      </c>
      <c r="Q11" s="445"/>
      <c r="R11" s="445">
        <f t="shared" si="2"/>
        <v>0.25</v>
      </c>
      <c r="S11" s="468"/>
      <c r="T11" s="445">
        <f>(Summary!L11)*J11</f>
        <v>750</v>
      </c>
      <c r="U11" s="479"/>
      <c r="V11" s="16"/>
      <c r="W11" s="12"/>
      <c r="X11" s="12"/>
      <c r="Y11" s="12"/>
      <c r="Z11" s="12"/>
      <c r="AA11" s="12"/>
      <c r="AB11" s="12"/>
      <c r="AC11" s="12"/>
      <c r="AD11" s="12"/>
      <c r="AE11" s="12"/>
      <c r="AF11" s="12"/>
      <c r="AG11" s="13"/>
      <c r="AH11" s="13"/>
      <c r="AI11" s="13"/>
      <c r="AJ11" s="13"/>
    </row>
    <row r="12" spans="1:36" s="4" customFormat="1" ht="15.75" customHeight="1">
      <c r="A12" s="92" t="str">
        <f>'Ration Balancer'!A18</f>
        <v>Commercial Supplement, Mineral, High Phos</v>
      </c>
      <c r="B12" s="460">
        <f>'Ration Balancer'!C18</f>
        <v>0.3</v>
      </c>
      <c r="C12" s="460"/>
      <c r="D12" s="458">
        <f t="shared" si="0"/>
        <v>0.84985835694051</v>
      </c>
      <c r="E12" s="458"/>
      <c r="F12" s="461">
        <f>B12*'Ration Balancer'!E18/100</f>
        <v>0.291</v>
      </c>
      <c r="G12" s="461"/>
      <c r="H12" s="458">
        <f t="shared" si="1"/>
        <v>0.9606813905120332</v>
      </c>
      <c r="I12" s="459"/>
      <c r="J12" s="451">
        <f>'Ration Balancer'!B18</f>
        <v>50</v>
      </c>
      <c r="K12" s="446"/>
      <c r="L12" s="446">
        <f>J12/('Ration Balancer'!E18/100)</f>
        <v>51.54639175257732</v>
      </c>
      <c r="M12" s="446"/>
      <c r="N12" s="446" t="e">
        <f>L12/('Ration Balancer'!J18/100)</f>
        <v>#DIV/0!</v>
      </c>
      <c r="O12" s="446"/>
      <c r="P12" s="446" t="e">
        <f>(L12/('Ration Balancer'!G18*20))*1000</f>
        <v>#DIV/0!</v>
      </c>
      <c r="Q12" s="446"/>
      <c r="R12" s="446">
        <f t="shared" si="2"/>
        <v>0.0075</v>
      </c>
      <c r="S12" s="471"/>
      <c r="T12" s="446">
        <f>(Summary!L12)*J12</f>
        <v>22.5</v>
      </c>
      <c r="U12" s="478"/>
      <c r="V12" s="16"/>
      <c r="W12" s="12"/>
      <c r="X12" s="12"/>
      <c r="Y12" s="12"/>
      <c r="Z12" s="12"/>
      <c r="AA12" s="12"/>
      <c r="AB12" s="12"/>
      <c r="AC12" s="12"/>
      <c r="AD12" s="12"/>
      <c r="AE12" s="12"/>
      <c r="AF12" s="12"/>
      <c r="AG12" s="13"/>
      <c r="AH12" s="13"/>
      <c r="AI12" s="13"/>
      <c r="AJ12" s="13"/>
    </row>
    <row r="13" spans="1:36" s="4" customFormat="1" ht="15.75" customHeight="1">
      <c r="A13" s="94">
        <f>'Ration Balancer'!A19</f>
        <v>0</v>
      </c>
      <c r="B13" s="455">
        <f>'Ration Balancer'!C19</f>
        <v>0</v>
      </c>
      <c r="C13" s="455"/>
      <c r="D13" s="449">
        <f t="shared" si="0"/>
        <v>0</v>
      </c>
      <c r="E13" s="449"/>
      <c r="F13" s="462">
        <f>B13*'Ration Balancer'!E19/100</f>
        <v>0</v>
      </c>
      <c r="G13" s="462"/>
      <c r="H13" s="449">
        <f t="shared" si="1"/>
        <v>0</v>
      </c>
      <c r="I13" s="450"/>
      <c r="J13" s="452">
        <f>'Ration Balancer'!B19</f>
        <v>0</v>
      </c>
      <c r="K13" s="445"/>
      <c r="L13" s="445" t="e">
        <f>J13/('Ration Balancer'!E19/100)</f>
        <v>#DIV/0!</v>
      </c>
      <c r="M13" s="445"/>
      <c r="N13" s="445" t="e">
        <f>L13/('Ration Balancer'!J19/100)</f>
        <v>#DIV/0!</v>
      </c>
      <c r="O13" s="445"/>
      <c r="P13" s="445" t="e">
        <f>(L13/('Ration Balancer'!G19*20))*1000</f>
        <v>#DIV/0!</v>
      </c>
      <c r="Q13" s="445"/>
      <c r="R13" s="445">
        <f t="shared" si="2"/>
        <v>0</v>
      </c>
      <c r="S13" s="468"/>
      <c r="T13" s="445">
        <f>(Summary!L13)*J13</f>
        <v>0</v>
      </c>
      <c r="U13" s="479"/>
      <c r="V13" s="16"/>
      <c r="W13" s="12"/>
      <c r="X13" s="12"/>
      <c r="Y13" s="12"/>
      <c r="Z13" s="12"/>
      <c r="AA13" s="12"/>
      <c r="AB13" s="12"/>
      <c r="AC13" s="12"/>
      <c r="AD13" s="12"/>
      <c r="AE13" s="12"/>
      <c r="AF13" s="12"/>
      <c r="AG13" s="13"/>
      <c r="AH13" s="13"/>
      <c r="AI13" s="13"/>
      <c r="AJ13" s="13"/>
    </row>
    <row r="14" spans="1:36" s="4" customFormat="1" ht="15.75" customHeight="1">
      <c r="A14" s="92">
        <f>'Ration Balancer'!A20</f>
        <v>0</v>
      </c>
      <c r="B14" s="460">
        <f>'Ration Balancer'!C20</f>
        <v>0</v>
      </c>
      <c r="C14" s="460"/>
      <c r="D14" s="458">
        <f t="shared" si="0"/>
        <v>0</v>
      </c>
      <c r="E14" s="458"/>
      <c r="F14" s="461">
        <f>B14*'Ration Balancer'!E20/100</f>
        <v>0</v>
      </c>
      <c r="G14" s="461"/>
      <c r="H14" s="458">
        <f t="shared" si="1"/>
        <v>0</v>
      </c>
      <c r="I14" s="459"/>
      <c r="J14" s="451">
        <f>'Ration Balancer'!B20</f>
        <v>0</v>
      </c>
      <c r="K14" s="446"/>
      <c r="L14" s="446" t="e">
        <f>J14/('Ration Balancer'!E20/100)</f>
        <v>#DIV/0!</v>
      </c>
      <c r="M14" s="446"/>
      <c r="N14" s="446" t="e">
        <f>L14/('Ration Balancer'!J20/100)</f>
        <v>#DIV/0!</v>
      </c>
      <c r="O14" s="446"/>
      <c r="P14" s="446" t="e">
        <f>(L14/('Ration Balancer'!G20*20))*1000</f>
        <v>#DIV/0!</v>
      </c>
      <c r="Q14" s="446"/>
      <c r="R14" s="446">
        <f t="shared" si="2"/>
        <v>0</v>
      </c>
      <c r="S14" s="471"/>
      <c r="T14" s="446">
        <f>(Summary!L14)*J14</f>
        <v>0</v>
      </c>
      <c r="U14" s="478"/>
      <c r="V14" s="16"/>
      <c r="W14" s="12"/>
      <c r="X14" s="12"/>
      <c r="Y14" s="12"/>
      <c r="Z14" s="12"/>
      <c r="AA14" s="12"/>
      <c r="AB14" s="12"/>
      <c r="AC14" s="12"/>
      <c r="AD14" s="12"/>
      <c r="AE14" s="12"/>
      <c r="AF14" s="12"/>
      <c r="AG14" s="13"/>
      <c r="AH14" s="13"/>
      <c r="AI14" s="13"/>
      <c r="AJ14" s="13"/>
    </row>
    <row r="15" spans="1:36" s="4" customFormat="1" ht="15.75" customHeight="1">
      <c r="A15" s="94">
        <f>'Ration Balancer'!A21</f>
        <v>0</v>
      </c>
      <c r="B15" s="455">
        <f>'Ration Balancer'!C21</f>
        <v>0</v>
      </c>
      <c r="C15" s="455"/>
      <c r="D15" s="449">
        <f t="shared" si="0"/>
        <v>0</v>
      </c>
      <c r="E15" s="449"/>
      <c r="F15" s="462">
        <f>B15*'Ration Balancer'!E21/100</f>
        <v>0</v>
      </c>
      <c r="G15" s="462"/>
      <c r="H15" s="449">
        <f t="shared" si="1"/>
        <v>0</v>
      </c>
      <c r="I15" s="450"/>
      <c r="J15" s="452">
        <f>'Ration Balancer'!B21</f>
        <v>0</v>
      </c>
      <c r="K15" s="445"/>
      <c r="L15" s="445" t="e">
        <f>J15/('Ration Balancer'!E21/100)</f>
        <v>#DIV/0!</v>
      </c>
      <c r="M15" s="445"/>
      <c r="N15" s="445" t="e">
        <f>L15/('Ration Balancer'!J21/100)</f>
        <v>#DIV/0!</v>
      </c>
      <c r="O15" s="445"/>
      <c r="P15" s="445" t="e">
        <f>(L15/('Ration Balancer'!G21*20))*1000</f>
        <v>#DIV/0!</v>
      </c>
      <c r="Q15" s="445"/>
      <c r="R15" s="445">
        <f t="shared" si="2"/>
        <v>0</v>
      </c>
      <c r="S15" s="468"/>
      <c r="T15" s="445">
        <f>(Summary!L15)*J15</f>
        <v>0</v>
      </c>
      <c r="U15" s="479"/>
      <c r="V15" s="16"/>
      <c r="W15" s="12"/>
      <c r="X15" s="12"/>
      <c r="Y15" s="12"/>
      <c r="Z15" s="12"/>
      <c r="AA15" s="12"/>
      <c r="AB15" s="12"/>
      <c r="AC15" s="12"/>
      <c r="AD15" s="12"/>
      <c r="AE15" s="12"/>
      <c r="AF15" s="12"/>
      <c r="AG15" s="13"/>
      <c r="AH15" s="13"/>
      <c r="AI15" s="13"/>
      <c r="AJ15" s="13"/>
    </row>
    <row r="16" spans="1:36" s="4" customFormat="1" ht="15.75" customHeight="1">
      <c r="A16" s="92">
        <f>'Ration Balancer'!A22</f>
        <v>0</v>
      </c>
      <c r="B16" s="460">
        <f>'Ration Balancer'!C22</f>
        <v>0</v>
      </c>
      <c r="C16" s="460"/>
      <c r="D16" s="458">
        <f t="shared" si="0"/>
        <v>0</v>
      </c>
      <c r="E16" s="458"/>
      <c r="F16" s="461">
        <f>B16*'Ration Balancer'!E22/100</f>
        <v>0</v>
      </c>
      <c r="G16" s="461"/>
      <c r="H16" s="458">
        <f t="shared" si="1"/>
        <v>0</v>
      </c>
      <c r="I16" s="459"/>
      <c r="J16" s="451">
        <f>'Ration Balancer'!B22</f>
        <v>0</v>
      </c>
      <c r="K16" s="446"/>
      <c r="L16" s="446" t="e">
        <f>J16/('Ration Balancer'!E22/100)</f>
        <v>#DIV/0!</v>
      </c>
      <c r="M16" s="446"/>
      <c r="N16" s="446" t="e">
        <f>L16/('Ration Balancer'!J22/100)</f>
        <v>#DIV/0!</v>
      </c>
      <c r="O16" s="446"/>
      <c r="P16" s="446" t="e">
        <f>(L16/('Ration Balancer'!G22*20))*1000</f>
        <v>#DIV/0!</v>
      </c>
      <c r="Q16" s="446"/>
      <c r="R16" s="446">
        <f t="shared" si="2"/>
        <v>0</v>
      </c>
      <c r="S16" s="471"/>
      <c r="T16" s="446">
        <f>(Summary!L16)*J16</f>
        <v>0</v>
      </c>
      <c r="U16" s="478"/>
      <c r="V16" s="16"/>
      <c r="W16" s="12"/>
      <c r="X16" s="12"/>
      <c r="Y16" s="12"/>
      <c r="Z16" s="12"/>
      <c r="AA16" s="12"/>
      <c r="AB16" s="12"/>
      <c r="AC16" s="12"/>
      <c r="AD16" s="12"/>
      <c r="AE16" s="12"/>
      <c r="AF16" s="12"/>
      <c r="AG16" s="13"/>
      <c r="AH16" s="13"/>
      <c r="AI16" s="13"/>
      <c r="AJ16" s="13"/>
    </row>
    <row r="17" spans="1:36" s="4" customFormat="1" ht="15.75" customHeight="1">
      <c r="A17" s="94">
        <f>'Ration Balancer'!A23</f>
        <v>0</v>
      </c>
      <c r="B17" s="455">
        <f>'Ration Balancer'!C23</f>
        <v>0</v>
      </c>
      <c r="C17" s="455"/>
      <c r="D17" s="449">
        <f t="shared" si="0"/>
        <v>0</v>
      </c>
      <c r="E17" s="449"/>
      <c r="F17" s="462">
        <f>B17*'Ration Balancer'!E23/100</f>
        <v>0</v>
      </c>
      <c r="G17" s="462"/>
      <c r="H17" s="449">
        <f t="shared" si="1"/>
        <v>0</v>
      </c>
      <c r="I17" s="450"/>
      <c r="J17" s="452">
        <f>'Ration Balancer'!B23</f>
        <v>0</v>
      </c>
      <c r="K17" s="445"/>
      <c r="L17" s="445" t="e">
        <f>J17/('Ration Balancer'!E23/100)</f>
        <v>#DIV/0!</v>
      </c>
      <c r="M17" s="445"/>
      <c r="N17" s="445" t="e">
        <f>L17/('Ration Balancer'!J23/100)</f>
        <v>#DIV/0!</v>
      </c>
      <c r="O17" s="445"/>
      <c r="P17" s="445" t="e">
        <f>(L17/('Ration Balancer'!G23*20))*1000</f>
        <v>#DIV/0!</v>
      </c>
      <c r="Q17" s="445"/>
      <c r="R17" s="445">
        <f t="shared" si="2"/>
        <v>0</v>
      </c>
      <c r="S17" s="468"/>
      <c r="T17" s="445">
        <f>(Summary!L17)*J17</f>
        <v>0</v>
      </c>
      <c r="U17" s="479"/>
      <c r="V17" s="16"/>
      <c r="W17" s="12"/>
      <c r="X17" s="12"/>
      <c r="Y17" s="12"/>
      <c r="Z17" s="12"/>
      <c r="AA17" s="12"/>
      <c r="AB17" s="12"/>
      <c r="AC17" s="12"/>
      <c r="AD17" s="12"/>
      <c r="AE17" s="12"/>
      <c r="AF17" s="12"/>
      <c r="AG17" s="13"/>
      <c r="AH17" s="13"/>
      <c r="AI17" s="13"/>
      <c r="AJ17" s="13"/>
    </row>
    <row r="18" spans="1:36" s="4" customFormat="1" ht="15.75" customHeight="1">
      <c r="A18" s="92">
        <f>'Ration Balancer'!A24</f>
        <v>0</v>
      </c>
      <c r="B18" s="460">
        <f>'Ration Balancer'!C24</f>
        <v>0</v>
      </c>
      <c r="C18" s="460"/>
      <c r="D18" s="456">
        <f t="shared" si="0"/>
        <v>0</v>
      </c>
      <c r="E18" s="456"/>
      <c r="F18" s="483">
        <f>B18*'Ration Balancer'!E24/100</f>
        <v>0</v>
      </c>
      <c r="G18" s="483"/>
      <c r="H18" s="456">
        <f t="shared" si="1"/>
        <v>0</v>
      </c>
      <c r="I18" s="457"/>
      <c r="J18" s="451">
        <f>'Ration Balancer'!B24</f>
        <v>0</v>
      </c>
      <c r="K18" s="446"/>
      <c r="L18" s="446" t="e">
        <f>J18/('Ration Balancer'!E24/100)</f>
        <v>#DIV/0!</v>
      </c>
      <c r="M18" s="446"/>
      <c r="N18" s="446" t="e">
        <f>L18/('Ration Balancer'!J24/100)</f>
        <v>#DIV/0!</v>
      </c>
      <c r="O18" s="446"/>
      <c r="P18" s="446" t="e">
        <f>(L18/('Ration Balancer'!G24*20))*1000</f>
        <v>#DIV/0!</v>
      </c>
      <c r="Q18" s="446"/>
      <c r="R18" s="446">
        <f t="shared" si="2"/>
        <v>0</v>
      </c>
      <c r="S18" s="471"/>
      <c r="T18" s="446">
        <f>(Summary!L18)*J18</f>
        <v>0</v>
      </c>
      <c r="U18" s="478"/>
      <c r="V18" s="16"/>
      <c r="W18" s="12"/>
      <c r="X18" s="12"/>
      <c r="Y18" s="12"/>
      <c r="Z18" s="12"/>
      <c r="AA18" s="12"/>
      <c r="AB18" s="12"/>
      <c r="AC18" s="13"/>
      <c r="AD18" s="13"/>
      <c r="AE18" s="13"/>
      <c r="AF18" s="13"/>
      <c r="AG18" s="13"/>
      <c r="AH18" s="13"/>
      <c r="AI18" s="13"/>
      <c r="AJ18" s="13"/>
    </row>
    <row r="19" spans="1:36" s="4" customFormat="1" ht="15.75" customHeight="1" thickBot="1">
      <c r="A19" s="91">
        <f>'Ration Balancer'!A25</f>
        <v>0</v>
      </c>
      <c r="B19" s="484">
        <f>'Ration Balancer'!C25</f>
        <v>0</v>
      </c>
      <c r="C19" s="484"/>
      <c r="D19" s="477">
        <f t="shared" si="0"/>
        <v>0</v>
      </c>
      <c r="E19" s="477"/>
      <c r="F19" s="482">
        <f>B19*'Ration Balancer'!E25/100</f>
        <v>0</v>
      </c>
      <c r="G19" s="482"/>
      <c r="H19" s="477">
        <f t="shared" si="1"/>
        <v>0</v>
      </c>
      <c r="I19" s="485"/>
      <c r="J19" s="448">
        <f>'Ration Balancer'!B25</f>
        <v>0</v>
      </c>
      <c r="K19" s="444"/>
      <c r="L19" s="444" t="e">
        <f>J19/('Ration Balancer'!E25/100)</f>
        <v>#DIV/0!</v>
      </c>
      <c r="M19" s="444"/>
      <c r="N19" s="444" t="e">
        <f>L19/('Ration Balancer'!J25/100)</f>
        <v>#DIV/0!</v>
      </c>
      <c r="O19" s="444"/>
      <c r="P19" s="444" t="e">
        <f>(L19/('Ration Balancer'!G25*20))*1000</f>
        <v>#DIV/0!</v>
      </c>
      <c r="Q19" s="444"/>
      <c r="R19" s="444">
        <f t="shared" si="2"/>
        <v>0</v>
      </c>
      <c r="S19" s="476"/>
      <c r="T19" s="444">
        <f>(Summary!L19)*J19</f>
        <v>0</v>
      </c>
      <c r="U19" s="481"/>
      <c r="V19" s="16"/>
      <c r="W19" s="13"/>
      <c r="X19" s="13"/>
      <c r="Y19" s="13"/>
      <c r="Z19" s="13"/>
      <c r="AA19" s="13"/>
      <c r="AB19" s="13"/>
      <c r="AC19" s="13"/>
      <c r="AD19" s="13"/>
      <c r="AE19" s="13"/>
      <c r="AF19" s="13"/>
      <c r="AG19" s="13"/>
      <c r="AH19" s="13"/>
      <c r="AI19" s="13"/>
      <c r="AJ19" s="13"/>
    </row>
    <row r="20" spans="1:36" s="4" customFormat="1" ht="15.75" customHeight="1" thickBot="1">
      <c r="A20" s="96" t="s">
        <v>412</v>
      </c>
      <c r="B20" s="453">
        <f>SUM(B10:C19)</f>
        <v>35.3</v>
      </c>
      <c r="C20" s="399"/>
      <c r="D20" s="398">
        <f>SUM(D10:E19)</f>
        <v>100.00000000000001</v>
      </c>
      <c r="E20" s="399"/>
      <c r="F20" s="453">
        <f>SUM(F10:G19)</f>
        <v>30.291</v>
      </c>
      <c r="G20" s="399"/>
      <c r="H20" s="398">
        <f>SUM(H10:I19)</f>
        <v>100</v>
      </c>
      <c r="I20" s="454"/>
      <c r="J20" s="447">
        <f>((D10*J10)+(D11*J11)+(D12*J12)+(D13*J13)+(D14*J14)+(D15*J15)+(D16*J16)+(D17*J17)+(D18*J18)+(D19*J19))/100</f>
        <v>138.52691218130312</v>
      </c>
      <c r="K20" s="399"/>
      <c r="L20" s="475">
        <f>J20/('Ration Balancer'!E29/100)</f>
        <v>161.43408933346538</v>
      </c>
      <c r="M20" s="399"/>
      <c r="N20" s="19"/>
      <c r="O20" s="19"/>
      <c r="P20" s="19"/>
      <c r="Q20" s="19"/>
      <c r="R20" s="475">
        <f>SUM(R10:R19)</f>
        <v>2.445</v>
      </c>
      <c r="S20" s="470"/>
      <c r="T20" s="475">
        <f>SUM(T10:U19)</f>
        <v>7335</v>
      </c>
      <c r="U20" s="480"/>
      <c r="V20" s="16"/>
      <c r="W20" s="12"/>
      <c r="X20" s="13"/>
      <c r="Y20" s="13"/>
      <c r="Z20" s="13"/>
      <c r="AA20" s="13"/>
      <c r="AB20" s="13"/>
      <c r="AC20" s="13"/>
      <c r="AD20" s="13"/>
      <c r="AE20" s="13"/>
      <c r="AF20" s="13"/>
      <c r="AG20" s="13"/>
      <c r="AH20" s="13"/>
      <c r="AI20" s="13"/>
      <c r="AJ20" s="13"/>
    </row>
    <row r="21" spans="1:36" s="4" customFormat="1" ht="15.75" customHeight="1">
      <c r="A21" s="13"/>
      <c r="B21" s="13"/>
      <c r="C21" s="13"/>
      <c r="D21" s="13"/>
      <c r="E21" s="13"/>
      <c r="F21" s="13"/>
      <c r="G21" s="13"/>
      <c r="H21" s="13"/>
      <c r="I21" s="13"/>
      <c r="J21" s="13"/>
      <c r="K21" s="13"/>
      <c r="L21" s="13"/>
      <c r="M21" s="13"/>
      <c r="N21" s="13"/>
      <c r="O21" s="13"/>
      <c r="P21" s="13"/>
      <c r="Q21" s="13"/>
      <c r="R21" s="13"/>
      <c r="S21" s="13"/>
      <c r="T21" s="13"/>
      <c r="U21" s="13"/>
      <c r="V21" s="16"/>
      <c r="W21" s="12"/>
      <c r="X21" s="12"/>
      <c r="Y21" s="13"/>
      <c r="Z21" s="13"/>
      <c r="AA21" s="13"/>
      <c r="AB21" s="13"/>
      <c r="AC21" s="13"/>
      <c r="AD21" s="13"/>
      <c r="AE21" s="13"/>
      <c r="AF21" s="13"/>
      <c r="AG21" s="13"/>
      <c r="AH21" s="13"/>
      <c r="AI21" s="13"/>
      <c r="AJ21" s="13"/>
    </row>
    <row r="22" spans="1:36" s="4" customFormat="1" ht="12" customHeight="1">
      <c r="A22" s="403" t="s">
        <v>476</v>
      </c>
      <c r="B22" s="403"/>
      <c r="C22" s="403"/>
      <c r="D22" s="100"/>
      <c r="E22" s="100"/>
      <c r="F22" s="100"/>
      <c r="G22" s="100"/>
      <c r="H22" s="100"/>
      <c r="I22" s="100"/>
      <c r="J22" s="100"/>
      <c r="K22" s="100"/>
      <c r="L22" s="65"/>
      <c r="M22" s="65"/>
      <c r="N22" s="13"/>
      <c r="O22" s="13"/>
      <c r="P22" s="13"/>
      <c r="Q22" s="13"/>
      <c r="R22" s="13"/>
      <c r="S22" s="13"/>
      <c r="T22" s="13"/>
      <c r="U22" s="13"/>
      <c r="V22" s="16"/>
      <c r="W22" s="12"/>
      <c r="X22" s="12"/>
      <c r="Y22" s="13"/>
      <c r="Z22" s="13"/>
      <c r="AA22" s="13"/>
      <c r="AB22" s="13"/>
      <c r="AC22" s="13"/>
      <c r="AD22" s="13"/>
      <c r="AE22" s="13"/>
      <c r="AF22" s="13"/>
      <c r="AG22" s="13"/>
      <c r="AH22" s="13"/>
      <c r="AI22" s="13"/>
      <c r="AJ22" s="13"/>
    </row>
    <row r="23" spans="1:36" s="4" customFormat="1" ht="12" customHeight="1" thickBot="1">
      <c r="A23" s="404"/>
      <c r="B23" s="404"/>
      <c r="C23" s="404"/>
      <c r="D23" s="102"/>
      <c r="E23" s="102"/>
      <c r="F23" s="102"/>
      <c r="G23" s="102"/>
      <c r="H23" s="102"/>
      <c r="I23" s="102"/>
      <c r="J23" s="102"/>
      <c r="K23" s="102"/>
      <c r="L23" s="65"/>
      <c r="M23" s="65"/>
      <c r="N23" s="13"/>
      <c r="O23" s="13"/>
      <c r="P23" s="13"/>
      <c r="Q23" s="13"/>
      <c r="R23" s="13"/>
      <c r="S23" s="13"/>
      <c r="T23" s="13"/>
      <c r="U23" s="13"/>
      <c r="V23" s="16"/>
      <c r="W23" s="12"/>
      <c r="X23" s="12"/>
      <c r="Y23" s="13"/>
      <c r="Z23" s="13"/>
      <c r="AA23" s="13"/>
      <c r="AB23" s="13"/>
      <c r="AC23" s="13"/>
      <c r="AD23" s="13"/>
      <c r="AE23" s="13"/>
      <c r="AF23" s="13"/>
      <c r="AG23" s="13"/>
      <c r="AH23" s="13"/>
      <c r="AI23" s="13"/>
      <c r="AJ23" s="13"/>
    </row>
    <row r="24" spans="1:36" s="4" customFormat="1" ht="12" customHeight="1">
      <c r="A24" s="437" t="s">
        <v>603</v>
      </c>
      <c r="B24" s="439">
        <f>R20</f>
        <v>2.445</v>
      </c>
      <c r="C24" s="71"/>
      <c r="D24" s="438"/>
      <c r="E24" s="439">
        <f>U20</f>
        <v>0</v>
      </c>
      <c r="F24" s="439">
        <f>V20</f>
        <v>0</v>
      </c>
      <c r="G24" s="439" t="e">
        <f>#REF!</f>
        <v>#REF!</v>
      </c>
      <c r="H24" s="439">
        <f>W20</f>
        <v>0</v>
      </c>
      <c r="I24" s="439">
        <f>X20</f>
        <v>0</v>
      </c>
      <c r="J24" s="439">
        <f>R20</f>
        <v>2.445</v>
      </c>
      <c r="K24" s="378"/>
      <c r="L24" s="93"/>
      <c r="M24" s="93"/>
      <c r="N24" s="13"/>
      <c r="O24" s="13"/>
      <c r="P24" s="13"/>
      <c r="Q24" s="13"/>
      <c r="R24" s="13"/>
      <c r="S24" s="13"/>
      <c r="T24" s="13"/>
      <c r="U24" s="13"/>
      <c r="V24" s="16"/>
      <c r="W24" s="12"/>
      <c r="X24" s="12"/>
      <c r="Y24" s="13"/>
      <c r="Z24" s="13"/>
      <c r="AA24" s="13"/>
      <c r="AB24" s="13"/>
      <c r="AC24" s="13"/>
      <c r="AD24" s="13"/>
      <c r="AE24" s="13"/>
      <c r="AF24" s="13"/>
      <c r="AG24" s="13"/>
      <c r="AH24" s="13"/>
      <c r="AI24" s="13"/>
      <c r="AJ24" s="13"/>
    </row>
    <row r="25" spans="1:36" s="4" customFormat="1" ht="12" customHeight="1">
      <c r="A25" s="437"/>
      <c r="B25" s="437"/>
      <c r="C25" s="71"/>
      <c r="D25" s="438"/>
      <c r="E25" s="438"/>
      <c r="F25" s="438"/>
      <c r="G25" s="438"/>
      <c r="H25" s="438"/>
      <c r="I25" s="438"/>
      <c r="J25" s="438"/>
      <c r="K25" s="378"/>
      <c r="L25" s="65"/>
      <c r="M25" s="65"/>
      <c r="N25" s="13"/>
      <c r="O25" s="13"/>
      <c r="P25" s="13"/>
      <c r="Q25" s="13"/>
      <c r="R25" s="13"/>
      <c r="S25" s="13"/>
      <c r="T25" s="13"/>
      <c r="U25" s="13"/>
      <c r="V25" s="16"/>
      <c r="W25" s="12"/>
      <c r="X25" s="12"/>
      <c r="Y25" s="13"/>
      <c r="Z25" s="13"/>
      <c r="AA25" s="13"/>
      <c r="AB25" s="13"/>
      <c r="AC25" s="13"/>
      <c r="AD25" s="13"/>
      <c r="AE25" s="13"/>
      <c r="AF25" s="13"/>
      <c r="AG25" s="13"/>
      <c r="AH25" s="13"/>
      <c r="AI25" s="13"/>
      <c r="AJ25" s="13"/>
    </row>
    <row r="26" spans="1:36" s="4" customFormat="1" ht="12" customHeight="1">
      <c r="A26" s="437" t="s">
        <v>159</v>
      </c>
      <c r="B26" s="439" t="e">
        <f>B24*#REF!</f>
        <v>#REF!</v>
      </c>
      <c r="C26" s="71"/>
      <c r="D26" s="438"/>
      <c r="E26" s="439" t="e">
        <f>E24*#REF!</f>
        <v>#REF!</v>
      </c>
      <c r="F26" s="439" t="e">
        <f>F24*#REF!</f>
        <v>#REF!</v>
      </c>
      <c r="G26" s="439" t="e">
        <f>G24*#REF!</f>
        <v>#REF!</v>
      </c>
      <c r="H26" s="439" t="e">
        <f>H24*#REF!</f>
        <v>#REF!</v>
      </c>
      <c r="I26" s="439" t="e">
        <f>I24*#REF!</f>
        <v>#REF!</v>
      </c>
      <c r="J26" s="439">
        <f>R20*'Ration Balancer'!P6</f>
        <v>48.9</v>
      </c>
      <c r="K26" s="442"/>
      <c r="L26" s="26"/>
      <c r="M26" s="26"/>
      <c r="N26" s="13"/>
      <c r="O26" s="13"/>
      <c r="P26" s="13"/>
      <c r="Q26" s="13"/>
      <c r="R26" s="13"/>
      <c r="S26" s="13"/>
      <c r="T26" s="13"/>
      <c r="U26" s="13"/>
      <c r="V26" s="16"/>
      <c r="W26" s="12"/>
      <c r="X26" s="12"/>
      <c r="Y26" s="13"/>
      <c r="Z26" s="13"/>
      <c r="AA26" s="13"/>
      <c r="AB26" s="13"/>
      <c r="AC26" s="13"/>
      <c r="AD26" s="13"/>
      <c r="AE26" s="13"/>
      <c r="AF26" s="13"/>
      <c r="AG26" s="13"/>
      <c r="AH26" s="13"/>
      <c r="AI26" s="13"/>
      <c r="AJ26" s="13"/>
    </row>
    <row r="27" spans="1:36" s="4" customFormat="1" ht="12" customHeight="1">
      <c r="A27" s="437"/>
      <c r="B27" s="437"/>
      <c r="C27" s="71"/>
      <c r="D27" s="438"/>
      <c r="E27" s="438"/>
      <c r="F27" s="438"/>
      <c r="G27" s="438"/>
      <c r="H27" s="438"/>
      <c r="I27" s="438"/>
      <c r="J27" s="438"/>
      <c r="K27" s="442"/>
      <c r="L27" s="26"/>
      <c r="M27" s="26"/>
      <c r="N27" s="13"/>
      <c r="O27" s="13"/>
      <c r="P27" s="13"/>
      <c r="Q27" s="13"/>
      <c r="R27" s="13"/>
      <c r="S27" s="13"/>
      <c r="T27" s="13"/>
      <c r="U27" s="13"/>
      <c r="V27" s="16"/>
      <c r="W27" s="12"/>
      <c r="X27" s="12"/>
      <c r="Y27" s="13"/>
      <c r="Z27" s="13"/>
      <c r="AA27" s="13"/>
      <c r="AB27" s="13"/>
      <c r="AC27" s="13"/>
      <c r="AD27" s="13"/>
      <c r="AE27" s="13"/>
      <c r="AF27" s="13"/>
      <c r="AG27" s="13"/>
      <c r="AH27" s="13"/>
      <c r="AI27" s="13"/>
      <c r="AJ27" s="13"/>
    </row>
    <row r="28" spans="1:36" s="4" customFormat="1" ht="12" customHeight="1">
      <c r="A28" s="437" t="s">
        <v>158</v>
      </c>
      <c r="B28" s="439">
        <f>T20</f>
        <v>7335</v>
      </c>
      <c r="C28" s="101"/>
      <c r="D28" s="437"/>
      <c r="E28" s="439" t="e">
        <f>#REF!</f>
        <v>#REF!</v>
      </c>
      <c r="F28" s="439">
        <f>W20</f>
        <v>0</v>
      </c>
      <c r="G28" s="439">
        <f>X20</f>
        <v>0</v>
      </c>
      <c r="H28" s="439">
        <f>Y20</f>
        <v>0</v>
      </c>
      <c r="I28" s="439">
        <f>Z20</f>
        <v>0</v>
      </c>
      <c r="J28" s="439">
        <f>T20</f>
        <v>7335</v>
      </c>
      <c r="K28" s="443"/>
      <c r="L28" s="26"/>
      <c r="M28" s="26"/>
      <c r="N28" s="13"/>
      <c r="O28" s="13"/>
      <c r="P28" s="13"/>
      <c r="Q28" s="13"/>
      <c r="R28" s="13"/>
      <c r="S28" s="13"/>
      <c r="T28" s="13"/>
      <c r="U28" s="13"/>
      <c r="V28" s="16"/>
      <c r="W28" s="12"/>
      <c r="X28" s="12"/>
      <c r="Y28" s="13"/>
      <c r="Z28" s="13"/>
      <c r="AA28" s="13"/>
      <c r="AB28" s="13"/>
      <c r="AC28" s="13"/>
      <c r="AD28" s="13"/>
      <c r="AE28" s="13"/>
      <c r="AF28" s="13"/>
      <c r="AG28" s="13"/>
      <c r="AH28" s="13"/>
      <c r="AI28" s="13"/>
      <c r="AJ28" s="13"/>
    </row>
    <row r="29" spans="1:36" s="4" customFormat="1" ht="12" customHeight="1">
      <c r="A29" s="437"/>
      <c r="B29" s="437"/>
      <c r="C29" s="71"/>
      <c r="D29" s="437"/>
      <c r="E29" s="437"/>
      <c r="F29" s="437"/>
      <c r="G29" s="437"/>
      <c r="H29" s="437"/>
      <c r="I29" s="437"/>
      <c r="J29" s="437"/>
      <c r="K29" s="443"/>
      <c r="L29" s="26"/>
      <c r="M29" s="26"/>
      <c r="N29" s="13"/>
      <c r="O29" s="13"/>
      <c r="P29" s="13"/>
      <c r="Q29" s="13"/>
      <c r="R29" s="13"/>
      <c r="S29" s="13"/>
      <c r="T29" s="13"/>
      <c r="U29" s="13"/>
      <c r="V29" s="16"/>
      <c r="W29" s="12"/>
      <c r="X29" s="12"/>
      <c r="Y29" s="13"/>
      <c r="Z29" s="13"/>
      <c r="AA29" s="13"/>
      <c r="AB29" s="13"/>
      <c r="AC29" s="13"/>
      <c r="AD29" s="13"/>
      <c r="AE29" s="13"/>
      <c r="AF29" s="13"/>
      <c r="AG29" s="13"/>
      <c r="AH29" s="13"/>
      <c r="AI29" s="13"/>
      <c r="AJ29" s="13"/>
    </row>
    <row r="30" spans="1:36" s="4" customFormat="1" ht="12" customHeight="1">
      <c r="A30" s="97"/>
      <c r="B30" s="97"/>
      <c r="C30" s="97"/>
      <c r="D30" s="97"/>
      <c r="E30" s="97"/>
      <c r="F30" s="97"/>
      <c r="G30" s="97"/>
      <c r="H30" s="97"/>
      <c r="I30" s="97"/>
      <c r="J30" s="97"/>
      <c r="K30" s="103"/>
      <c r="L30" s="26"/>
      <c r="M30" s="26"/>
      <c r="N30" s="13"/>
      <c r="O30" s="13"/>
      <c r="P30" s="13"/>
      <c r="Q30" s="13"/>
      <c r="R30" s="13"/>
      <c r="S30" s="13"/>
      <c r="T30" s="13"/>
      <c r="U30" s="13"/>
      <c r="V30" s="16"/>
      <c r="W30" s="12"/>
      <c r="X30" s="12"/>
      <c r="Y30" s="13"/>
      <c r="Z30" s="13"/>
      <c r="AA30" s="13"/>
      <c r="AB30" s="13"/>
      <c r="AC30" s="13"/>
      <c r="AD30" s="13"/>
      <c r="AE30" s="13"/>
      <c r="AF30" s="13"/>
      <c r="AG30" s="13"/>
      <c r="AH30" s="13"/>
      <c r="AI30" s="13"/>
      <c r="AJ30" s="13"/>
    </row>
    <row r="31" spans="1:36" s="4" customFormat="1" ht="15.75" customHeight="1">
      <c r="A31" s="97"/>
      <c r="B31" s="97"/>
      <c r="C31" s="97"/>
      <c r="D31" s="97"/>
      <c r="E31" s="97"/>
      <c r="F31" s="97"/>
      <c r="G31" s="97"/>
      <c r="H31" s="97"/>
      <c r="I31" s="97"/>
      <c r="J31" s="97"/>
      <c r="K31" s="103"/>
      <c r="L31" s="26"/>
      <c r="M31" s="26"/>
      <c r="N31" s="13"/>
      <c r="O31" s="13"/>
      <c r="P31" s="13"/>
      <c r="Q31" s="13"/>
      <c r="R31" s="13"/>
      <c r="S31" s="13"/>
      <c r="T31" s="13"/>
      <c r="U31" s="13"/>
      <c r="V31" s="16"/>
      <c r="W31" s="12"/>
      <c r="X31" s="12"/>
      <c r="Y31" s="13"/>
      <c r="Z31" s="13"/>
      <c r="AA31" s="13"/>
      <c r="AB31" s="13"/>
      <c r="AC31" s="13"/>
      <c r="AD31" s="13"/>
      <c r="AE31" s="13"/>
      <c r="AF31" s="13"/>
      <c r="AG31" s="13"/>
      <c r="AH31" s="13"/>
      <c r="AI31" s="13"/>
      <c r="AJ31" s="13"/>
    </row>
    <row r="32" spans="1:36" s="4" customFormat="1" ht="14.25" customHeight="1">
      <c r="A32" s="14"/>
      <c r="B32" s="408"/>
      <c r="C32" s="440"/>
      <c r="D32" s="440"/>
      <c r="E32" s="408"/>
      <c r="F32" s="440"/>
      <c r="G32" s="440"/>
      <c r="H32" s="408"/>
      <c r="I32" s="440"/>
      <c r="J32" s="440"/>
      <c r="K32" s="10" t="s">
        <v>304</v>
      </c>
      <c r="L32" s="10"/>
      <c r="M32" s="10"/>
      <c r="N32" s="12"/>
      <c r="O32" s="12"/>
      <c r="P32" s="12"/>
      <c r="Q32" s="12"/>
      <c r="R32" s="12"/>
      <c r="S32" s="12"/>
      <c r="T32" s="12"/>
      <c r="U32" s="12"/>
      <c r="V32" s="12"/>
      <c r="W32" s="12"/>
      <c r="X32" s="12"/>
      <c r="Y32" s="13"/>
      <c r="Z32" s="13"/>
      <c r="AA32" s="13"/>
      <c r="AB32" s="13"/>
      <c r="AC32" s="13"/>
      <c r="AD32" s="13"/>
      <c r="AE32" s="13"/>
      <c r="AF32" s="13"/>
      <c r="AG32" s="13"/>
      <c r="AH32" s="13"/>
      <c r="AI32" s="13"/>
      <c r="AJ32" s="13"/>
    </row>
    <row r="33" spans="1:36" s="4" customFormat="1" ht="13.5" customHeight="1">
      <c r="A33" s="14"/>
      <c r="B33" s="408"/>
      <c r="C33" s="440"/>
      <c r="D33" s="440"/>
      <c r="E33" s="408"/>
      <c r="F33" s="440"/>
      <c r="G33" s="440"/>
      <c r="H33" s="11" t="s">
        <v>294</v>
      </c>
      <c r="I33" s="11" t="s">
        <v>294</v>
      </c>
      <c r="J33" s="11"/>
      <c r="K33" s="10" t="s">
        <v>305</v>
      </c>
      <c r="L33" s="10"/>
      <c r="M33" s="10"/>
      <c r="N33" s="28"/>
      <c r="O33" s="28"/>
      <c r="P33" s="28"/>
      <c r="Q33" s="28"/>
      <c r="R33" s="12"/>
      <c r="S33" s="12"/>
      <c r="T33" s="12"/>
      <c r="U33" s="12"/>
      <c r="V33" s="12"/>
      <c r="W33" s="12"/>
      <c r="X33" s="12"/>
      <c r="Y33" s="13"/>
      <c r="Z33" s="13"/>
      <c r="AA33" s="13"/>
      <c r="AB33" s="13"/>
      <c r="AC33" s="13"/>
      <c r="AD33" s="13"/>
      <c r="AE33" s="13"/>
      <c r="AF33" s="13"/>
      <c r="AG33" s="13"/>
      <c r="AH33" s="13"/>
      <c r="AI33" s="13"/>
      <c r="AJ33" s="13"/>
    </row>
    <row r="34" spans="1:36" s="4" customFormat="1" ht="13.5" customHeight="1">
      <c r="A34" s="14"/>
      <c r="B34" s="408"/>
      <c r="C34" s="440"/>
      <c r="D34" s="440"/>
      <c r="E34" s="408"/>
      <c r="F34" s="440"/>
      <c r="G34" s="440"/>
      <c r="H34" s="11" t="s">
        <v>295</v>
      </c>
      <c r="I34" s="11" t="s">
        <v>295</v>
      </c>
      <c r="J34" s="11"/>
      <c r="K34" s="5"/>
      <c r="L34" s="10"/>
      <c r="M34" s="10"/>
      <c r="N34" s="28"/>
      <c r="O34" s="28"/>
      <c r="P34" s="28"/>
      <c r="Q34" s="28"/>
      <c r="R34" s="12"/>
      <c r="S34" s="12"/>
      <c r="T34" s="12"/>
      <c r="U34" s="12"/>
      <c r="V34" s="12"/>
      <c r="W34" s="12"/>
      <c r="X34" s="12"/>
      <c r="Y34" s="13"/>
      <c r="Z34" s="13"/>
      <c r="AA34" s="13"/>
      <c r="AB34" s="13"/>
      <c r="AC34" s="13"/>
      <c r="AD34" s="13"/>
      <c r="AE34" s="13"/>
      <c r="AF34" s="13"/>
      <c r="AG34" s="13"/>
      <c r="AH34" s="13"/>
      <c r="AI34" s="13"/>
      <c r="AJ34" s="13"/>
    </row>
    <row r="35" spans="1:36" s="4" customFormat="1" ht="13.5" customHeight="1">
      <c r="A35" s="14"/>
      <c r="B35" s="408"/>
      <c r="C35" s="440"/>
      <c r="D35" s="440"/>
      <c r="E35" s="408"/>
      <c r="F35" s="440"/>
      <c r="G35" s="440"/>
      <c r="H35" s="11" t="s">
        <v>294</v>
      </c>
      <c r="I35" s="11" t="s">
        <v>294</v>
      </c>
      <c r="J35" s="11"/>
      <c r="K35" s="10" t="s">
        <v>294</v>
      </c>
      <c r="L35" s="10"/>
      <c r="M35" s="10"/>
      <c r="N35" s="28"/>
      <c r="O35" s="28"/>
      <c r="P35" s="28"/>
      <c r="Q35" s="12"/>
      <c r="R35" s="12"/>
      <c r="S35" s="13"/>
      <c r="T35" s="12"/>
      <c r="U35" s="12"/>
      <c r="V35" s="12"/>
      <c r="W35" s="12"/>
      <c r="X35" s="12"/>
      <c r="Y35" s="13"/>
      <c r="Z35" s="13"/>
      <c r="AA35" s="13"/>
      <c r="AB35" s="13"/>
      <c r="AC35" s="13"/>
      <c r="AD35" s="13"/>
      <c r="AE35" s="13"/>
      <c r="AF35" s="13"/>
      <c r="AG35" s="13"/>
      <c r="AH35" s="13"/>
      <c r="AI35" s="13"/>
      <c r="AJ35" s="13"/>
    </row>
    <row r="36" spans="1:36" s="4" customFormat="1" ht="13.5" customHeight="1">
      <c r="A36" s="14"/>
      <c r="B36" s="408"/>
      <c r="C36" s="440"/>
      <c r="D36" s="440"/>
      <c r="E36" s="408"/>
      <c r="F36" s="440"/>
      <c r="G36" s="440"/>
      <c r="H36" s="11" t="s">
        <v>295</v>
      </c>
      <c r="I36" s="11" t="s">
        <v>295</v>
      </c>
      <c r="J36" s="11"/>
      <c r="K36" s="10" t="s">
        <v>295</v>
      </c>
      <c r="L36" s="27"/>
      <c r="M36" s="27"/>
      <c r="N36" s="28"/>
      <c r="O36" s="28"/>
      <c r="P36" s="28"/>
      <c r="Q36" s="12"/>
      <c r="R36" s="12"/>
      <c r="S36" s="13"/>
      <c r="T36" s="12"/>
      <c r="U36" s="12"/>
      <c r="V36" s="12"/>
      <c r="W36" s="12"/>
      <c r="X36" s="12"/>
      <c r="Y36" s="13"/>
      <c r="Z36" s="13"/>
      <c r="AA36" s="13"/>
      <c r="AB36" s="13"/>
      <c r="AC36" s="13"/>
      <c r="AD36" s="13"/>
      <c r="AE36" s="13"/>
      <c r="AF36" s="13"/>
      <c r="AG36" s="13"/>
      <c r="AH36" s="13"/>
      <c r="AI36" s="13"/>
      <c r="AJ36" s="13"/>
    </row>
    <row r="37" spans="1:36" s="4" customFormat="1" ht="13.5" customHeight="1">
      <c r="A37" s="14"/>
      <c r="B37" s="408"/>
      <c r="C37" s="440"/>
      <c r="D37" s="440"/>
      <c r="E37" s="408"/>
      <c r="F37" s="440"/>
      <c r="G37" s="440"/>
      <c r="H37" s="11" t="s">
        <v>295</v>
      </c>
      <c r="I37" s="11" t="s">
        <v>295</v>
      </c>
      <c r="J37" s="11"/>
      <c r="K37" s="441"/>
      <c r="L37" s="441"/>
      <c r="M37" s="441"/>
      <c r="N37" s="12"/>
      <c r="O37" s="12"/>
      <c r="P37" s="12"/>
      <c r="Q37" s="12"/>
      <c r="R37" s="12"/>
      <c r="S37" s="13"/>
      <c r="T37" s="12"/>
      <c r="U37" s="12"/>
      <c r="V37" s="12"/>
      <c r="W37" s="12"/>
      <c r="X37" s="12"/>
      <c r="Y37" s="13"/>
      <c r="Z37" s="13"/>
      <c r="AA37" s="13"/>
      <c r="AB37" s="13"/>
      <c r="AC37" s="13"/>
      <c r="AD37" s="13"/>
      <c r="AE37" s="13"/>
      <c r="AF37" s="13"/>
      <c r="AG37" s="13"/>
      <c r="AH37" s="13"/>
      <c r="AI37" s="13"/>
      <c r="AJ37" s="13"/>
    </row>
    <row r="38" spans="1:36" s="4" customFormat="1" ht="13.5" customHeight="1">
      <c r="A38" s="14"/>
      <c r="B38" s="14"/>
      <c r="C38" s="14"/>
      <c r="D38" s="14"/>
      <c r="E38" s="14"/>
      <c r="F38" s="14"/>
      <c r="G38" s="14"/>
      <c r="H38" s="14"/>
      <c r="I38" s="14"/>
      <c r="J38" s="14"/>
      <c r="K38" s="408"/>
      <c r="L38" s="440"/>
      <c r="M38" s="440"/>
      <c r="N38" s="12"/>
      <c r="O38" s="12"/>
      <c r="P38" s="12"/>
      <c r="Q38" s="12"/>
      <c r="R38" s="12"/>
      <c r="S38" s="15"/>
      <c r="T38" s="12"/>
      <c r="U38" s="12"/>
      <c r="V38" s="12"/>
      <c r="W38" s="12"/>
      <c r="X38" s="12"/>
      <c r="Y38" s="13"/>
      <c r="Z38" s="13"/>
      <c r="AA38" s="13"/>
      <c r="AB38" s="13"/>
      <c r="AC38" s="13"/>
      <c r="AD38" s="13"/>
      <c r="AE38" s="13"/>
      <c r="AF38" s="13"/>
      <c r="AG38" s="13"/>
      <c r="AH38" s="13"/>
      <c r="AI38" s="13"/>
      <c r="AJ38" s="13"/>
    </row>
    <row r="39" spans="1:36" ht="13.5">
      <c r="A39" s="435"/>
      <c r="B39" s="434"/>
      <c r="C39" s="435"/>
      <c r="D39" s="29"/>
      <c r="E39" s="29"/>
      <c r="F39" s="29"/>
      <c r="G39" s="29"/>
      <c r="H39" s="29"/>
      <c r="I39" s="29"/>
      <c r="J39" s="29"/>
      <c r="K39" s="29"/>
      <c r="L39" s="29"/>
      <c r="M39" s="29"/>
      <c r="N39" s="18"/>
      <c r="O39" s="18"/>
      <c r="P39" s="18"/>
      <c r="Q39" s="18"/>
      <c r="R39" s="18"/>
      <c r="S39" s="18"/>
      <c r="T39" s="18"/>
      <c r="U39" s="18"/>
      <c r="V39" s="18"/>
      <c r="W39" s="18"/>
      <c r="X39" s="18"/>
      <c r="Y39" s="5"/>
      <c r="Z39" s="5"/>
      <c r="AA39" s="5"/>
      <c r="AB39" s="5"/>
      <c r="AC39" s="5"/>
      <c r="AD39" s="5"/>
      <c r="AE39" s="5"/>
      <c r="AF39" s="5"/>
      <c r="AG39" s="5"/>
      <c r="AH39" s="5"/>
      <c r="AI39" s="5"/>
      <c r="AJ39" s="5"/>
    </row>
    <row r="40" spans="1:36" ht="13.5">
      <c r="A40" s="435"/>
      <c r="B40" s="436"/>
      <c r="C40" s="436"/>
      <c r="D40" s="29"/>
      <c r="E40" s="29"/>
      <c r="F40" s="29"/>
      <c r="G40" s="29"/>
      <c r="H40" s="29"/>
      <c r="I40" s="29"/>
      <c r="J40" s="29"/>
      <c r="K40" s="29"/>
      <c r="L40" s="29"/>
      <c r="M40" s="29"/>
      <c r="N40" s="18"/>
      <c r="O40" s="18"/>
      <c r="P40" s="18"/>
      <c r="Q40" s="18"/>
      <c r="R40" s="18"/>
      <c r="S40" s="18"/>
      <c r="T40" s="18"/>
      <c r="U40" s="18"/>
      <c r="V40" s="18"/>
      <c r="W40" s="18"/>
      <c r="X40" s="18"/>
      <c r="Y40" s="5"/>
      <c r="Z40" s="5"/>
      <c r="AA40" s="5"/>
      <c r="AB40" s="5"/>
      <c r="AC40" s="5"/>
      <c r="AD40" s="5"/>
      <c r="AE40" s="5"/>
      <c r="AF40" s="5"/>
      <c r="AG40" s="5"/>
      <c r="AH40" s="5"/>
      <c r="AI40" s="5"/>
      <c r="AJ40" s="5"/>
    </row>
    <row r="41" spans="1:36" ht="13.5">
      <c r="A41" s="435"/>
      <c r="B41" s="434"/>
      <c r="C41" s="435"/>
      <c r="D41" s="29"/>
      <c r="E41" s="29"/>
      <c r="F41" s="29"/>
      <c r="G41" s="29"/>
      <c r="H41" s="29"/>
      <c r="I41" s="29"/>
      <c r="J41" s="29"/>
      <c r="K41" s="29"/>
      <c r="L41" s="29"/>
      <c r="M41" s="29"/>
      <c r="N41" s="18"/>
      <c r="O41" s="18"/>
      <c r="P41" s="18"/>
      <c r="Q41" s="18"/>
      <c r="R41" s="18"/>
      <c r="S41" s="18"/>
      <c r="T41" s="18"/>
      <c r="U41" s="18"/>
      <c r="V41" s="18"/>
      <c r="W41" s="18"/>
      <c r="X41" s="18"/>
      <c r="Y41" s="5"/>
      <c r="Z41" s="5"/>
      <c r="AA41" s="5"/>
      <c r="AB41" s="5"/>
      <c r="AC41" s="5"/>
      <c r="AD41" s="5"/>
      <c r="AE41" s="5"/>
      <c r="AF41" s="5"/>
      <c r="AG41" s="5"/>
      <c r="AH41" s="5"/>
      <c r="AI41" s="5"/>
      <c r="AJ41" s="5"/>
    </row>
    <row r="42" spans="1:36" ht="13.5">
      <c r="A42" s="435"/>
      <c r="B42" s="436"/>
      <c r="C42" s="436"/>
      <c r="D42" s="29"/>
      <c r="E42" s="29"/>
      <c r="F42" s="29"/>
      <c r="G42" s="29"/>
      <c r="H42" s="29"/>
      <c r="I42" s="29"/>
      <c r="J42" s="29"/>
      <c r="K42" s="29"/>
      <c r="L42" s="29"/>
      <c r="M42" s="29"/>
      <c r="N42" s="18"/>
      <c r="O42" s="18"/>
      <c r="P42" s="18"/>
      <c r="Q42" s="18"/>
      <c r="R42" s="18"/>
      <c r="S42" s="18"/>
      <c r="T42" s="18"/>
      <c r="U42" s="18"/>
      <c r="V42" s="18"/>
      <c r="W42" s="18"/>
      <c r="X42" s="18"/>
      <c r="Y42" s="5"/>
      <c r="Z42" s="5"/>
      <c r="AA42" s="5"/>
      <c r="AB42" s="5"/>
      <c r="AC42" s="5"/>
      <c r="AD42" s="5"/>
      <c r="AE42" s="5"/>
      <c r="AF42" s="5"/>
      <c r="AG42" s="5"/>
      <c r="AH42" s="5"/>
      <c r="AI42" s="5"/>
      <c r="AJ42" s="5"/>
    </row>
    <row r="43" spans="1:36" ht="13.5">
      <c r="A43" s="435"/>
      <c r="B43" s="434"/>
      <c r="C43" s="434"/>
      <c r="D43" s="29"/>
      <c r="E43" s="29"/>
      <c r="F43" s="29"/>
      <c r="G43" s="29"/>
      <c r="H43" s="29"/>
      <c r="I43" s="29"/>
      <c r="J43" s="29"/>
      <c r="K43" s="29"/>
      <c r="L43" s="29"/>
      <c r="M43" s="29"/>
      <c r="N43" s="18"/>
      <c r="O43" s="18"/>
      <c r="P43" s="18"/>
      <c r="Q43" s="18"/>
      <c r="R43" s="18"/>
      <c r="S43" s="18"/>
      <c r="T43" s="18"/>
      <c r="U43" s="18"/>
      <c r="V43" s="18"/>
      <c r="W43" s="18"/>
      <c r="X43" s="18"/>
      <c r="Y43" s="5"/>
      <c r="Z43" s="5"/>
      <c r="AA43" s="5"/>
      <c r="AB43" s="5"/>
      <c r="AC43" s="5"/>
      <c r="AD43" s="5"/>
      <c r="AE43" s="5"/>
      <c r="AF43" s="5"/>
      <c r="AG43" s="5"/>
      <c r="AH43" s="5"/>
      <c r="AI43" s="5"/>
      <c r="AJ43" s="5"/>
    </row>
    <row r="44" spans="1:36" ht="13.5">
      <c r="A44" s="435"/>
      <c r="B44" s="436"/>
      <c r="C44" s="436"/>
      <c r="D44" s="29"/>
      <c r="E44" s="29"/>
      <c r="F44" s="29"/>
      <c r="G44" s="29"/>
      <c r="H44" s="29"/>
      <c r="I44" s="29"/>
      <c r="J44" s="29"/>
      <c r="K44" s="29"/>
      <c r="L44" s="29"/>
      <c r="M44" s="29"/>
      <c r="N44" s="18"/>
      <c r="O44" s="18"/>
      <c r="P44" s="18"/>
      <c r="Q44" s="18"/>
      <c r="R44" s="18"/>
      <c r="S44" s="18"/>
      <c r="T44" s="18"/>
      <c r="U44" s="18"/>
      <c r="V44" s="18"/>
      <c r="W44" s="18"/>
      <c r="X44" s="18"/>
      <c r="Y44" s="5"/>
      <c r="Z44" s="5"/>
      <c r="AA44" s="5"/>
      <c r="AB44" s="5"/>
      <c r="AC44" s="5"/>
      <c r="AD44" s="5"/>
      <c r="AE44" s="5"/>
      <c r="AF44" s="5"/>
      <c r="AG44" s="5"/>
      <c r="AH44" s="5"/>
      <c r="AI44" s="5"/>
      <c r="AJ44" s="5"/>
    </row>
    <row r="45" spans="1:36" ht="13.5">
      <c r="A45" s="18"/>
      <c r="B45" s="18"/>
      <c r="C45" s="18"/>
      <c r="D45" s="18"/>
      <c r="E45" s="18"/>
      <c r="F45" s="18"/>
      <c r="G45" s="18"/>
      <c r="H45" s="18"/>
      <c r="I45" s="18"/>
      <c r="J45" s="18"/>
      <c r="K45" s="18"/>
      <c r="L45" s="18"/>
      <c r="M45" s="18"/>
      <c r="N45" s="18"/>
      <c r="O45" s="18"/>
      <c r="P45" s="18"/>
      <c r="Q45" s="18"/>
      <c r="R45" s="18"/>
      <c r="S45" s="18"/>
      <c r="T45" s="18"/>
      <c r="U45" s="18"/>
      <c r="V45" s="18"/>
      <c r="W45" s="18"/>
      <c r="X45" s="18"/>
      <c r="Y45" s="5"/>
      <c r="Z45" s="5"/>
      <c r="AA45" s="5"/>
      <c r="AB45" s="5"/>
      <c r="AC45" s="5"/>
      <c r="AD45" s="5"/>
      <c r="AE45" s="5"/>
      <c r="AF45" s="5"/>
      <c r="AG45" s="5"/>
      <c r="AH45" s="5"/>
      <c r="AI45" s="5"/>
      <c r="AJ45" s="5"/>
    </row>
    <row r="46" spans="1:36" ht="13.5">
      <c r="A46" s="18"/>
      <c r="B46" s="18"/>
      <c r="C46" s="18"/>
      <c r="D46" s="18"/>
      <c r="E46" s="18"/>
      <c r="F46" s="18"/>
      <c r="G46" s="18"/>
      <c r="H46" s="18"/>
      <c r="I46" s="18"/>
      <c r="J46" s="18"/>
      <c r="K46" s="18"/>
      <c r="L46" s="18"/>
      <c r="M46" s="18"/>
      <c r="N46" s="18"/>
      <c r="O46" s="18"/>
      <c r="P46" s="18"/>
      <c r="Q46" s="18"/>
      <c r="R46" s="18"/>
      <c r="S46" s="18"/>
      <c r="T46" s="18"/>
      <c r="U46" s="18"/>
      <c r="V46" s="18"/>
      <c r="W46" s="18"/>
      <c r="X46" s="18"/>
      <c r="Y46" s="5"/>
      <c r="Z46" s="5"/>
      <c r="AA46" s="5"/>
      <c r="AB46" s="5"/>
      <c r="AC46" s="5"/>
      <c r="AD46" s="5"/>
      <c r="AE46" s="5"/>
      <c r="AF46" s="5"/>
      <c r="AG46" s="5"/>
      <c r="AH46" s="5"/>
      <c r="AI46" s="5"/>
      <c r="AJ46" s="5"/>
    </row>
    <row r="47" spans="1:36" ht="13.5">
      <c r="A47" s="18"/>
      <c r="B47" s="18"/>
      <c r="C47" s="18"/>
      <c r="D47" s="18"/>
      <c r="E47" s="18"/>
      <c r="F47" s="18"/>
      <c r="G47" s="18"/>
      <c r="H47" s="18"/>
      <c r="I47" s="18"/>
      <c r="J47" s="18"/>
      <c r="K47" s="18"/>
      <c r="L47" s="18"/>
      <c r="M47" s="18"/>
      <c r="N47" s="18"/>
      <c r="O47" s="18"/>
      <c r="P47" s="18"/>
      <c r="Q47" s="18"/>
      <c r="R47" s="18"/>
      <c r="S47" s="18"/>
      <c r="T47" s="18"/>
      <c r="U47" s="18"/>
      <c r="V47" s="18"/>
      <c r="W47" s="18"/>
      <c r="X47" s="18"/>
      <c r="Y47" s="5"/>
      <c r="Z47" s="5"/>
      <c r="AA47" s="5"/>
      <c r="AB47" s="5"/>
      <c r="AC47" s="5"/>
      <c r="AD47" s="5"/>
      <c r="AE47" s="5"/>
      <c r="AF47" s="5"/>
      <c r="AG47" s="5"/>
      <c r="AH47" s="5"/>
      <c r="AI47" s="5"/>
      <c r="AJ47" s="5"/>
    </row>
    <row r="48" spans="1:36" ht="13.5">
      <c r="A48" s="18"/>
      <c r="B48" s="18"/>
      <c r="C48" s="18"/>
      <c r="D48" s="18"/>
      <c r="E48" s="18"/>
      <c r="F48" s="18"/>
      <c r="G48" s="18"/>
      <c r="H48" s="18"/>
      <c r="I48" s="18"/>
      <c r="J48" s="18"/>
      <c r="K48" s="18"/>
      <c r="L48" s="18"/>
      <c r="M48" s="18"/>
      <c r="N48" s="18"/>
      <c r="O48" s="18"/>
      <c r="P48" s="18"/>
      <c r="Q48" s="18"/>
      <c r="R48" s="18"/>
      <c r="S48" s="18"/>
      <c r="T48" s="18"/>
      <c r="U48" s="18"/>
      <c r="V48" s="18"/>
      <c r="W48" s="18"/>
      <c r="X48" s="18"/>
      <c r="Y48" s="5"/>
      <c r="Z48" s="5"/>
      <c r="AA48" s="5"/>
      <c r="AB48" s="5"/>
      <c r="AC48" s="5"/>
      <c r="AD48" s="5"/>
      <c r="AE48" s="5"/>
      <c r="AF48" s="5"/>
      <c r="AG48" s="5"/>
      <c r="AH48" s="5"/>
      <c r="AI48" s="5"/>
      <c r="AJ48" s="5"/>
    </row>
    <row r="49" spans="1:36" ht="13.5">
      <c r="A49" s="18"/>
      <c r="B49" s="18"/>
      <c r="C49" s="18"/>
      <c r="D49" s="18"/>
      <c r="E49" s="18"/>
      <c r="F49" s="18"/>
      <c r="G49" s="18"/>
      <c r="H49" s="18"/>
      <c r="I49" s="18"/>
      <c r="J49" s="18"/>
      <c r="K49" s="18"/>
      <c r="L49" s="18"/>
      <c r="M49" s="18"/>
      <c r="N49" s="18"/>
      <c r="O49" s="18"/>
      <c r="P49" s="18"/>
      <c r="Q49" s="18"/>
      <c r="R49" s="18"/>
      <c r="S49" s="18"/>
      <c r="T49" s="18"/>
      <c r="U49" s="18"/>
      <c r="V49" s="18"/>
      <c r="W49" s="18"/>
      <c r="X49" s="18"/>
      <c r="Y49" s="5"/>
      <c r="Z49" s="5"/>
      <c r="AA49" s="5"/>
      <c r="AB49" s="5"/>
      <c r="AC49" s="5"/>
      <c r="AD49" s="5"/>
      <c r="AE49" s="5"/>
      <c r="AF49" s="5"/>
      <c r="AG49" s="5"/>
      <c r="AH49" s="5"/>
      <c r="AI49" s="5"/>
      <c r="AJ49" s="5"/>
    </row>
    <row r="50" spans="1:36" ht="13.5">
      <c r="A50" s="18"/>
      <c r="B50" s="18"/>
      <c r="C50" s="18"/>
      <c r="D50" s="18"/>
      <c r="E50" s="18"/>
      <c r="F50" s="18"/>
      <c r="G50" s="18"/>
      <c r="H50" s="18"/>
      <c r="I50" s="18"/>
      <c r="J50" s="18"/>
      <c r="K50" s="18"/>
      <c r="L50" s="18"/>
      <c r="M50" s="18"/>
      <c r="N50" s="18"/>
      <c r="O50" s="18"/>
      <c r="P50" s="18"/>
      <c r="Q50" s="18"/>
      <c r="R50" s="18"/>
      <c r="S50" s="18"/>
      <c r="T50" s="18"/>
      <c r="U50" s="18"/>
      <c r="V50" s="18"/>
      <c r="W50" s="18"/>
      <c r="X50" s="18"/>
      <c r="Y50" s="5"/>
      <c r="Z50" s="5"/>
      <c r="AA50" s="5"/>
      <c r="AB50" s="5"/>
      <c r="AC50" s="5"/>
      <c r="AD50" s="5"/>
      <c r="AE50" s="5"/>
      <c r="AF50" s="5"/>
      <c r="AG50" s="5"/>
      <c r="AH50" s="5"/>
      <c r="AI50" s="5"/>
      <c r="AJ50" s="5"/>
    </row>
    <row r="51" spans="1:36" ht="13.5">
      <c r="A51" s="18"/>
      <c r="B51" s="18"/>
      <c r="C51" s="18"/>
      <c r="D51" s="18"/>
      <c r="E51" s="18"/>
      <c r="F51" s="18"/>
      <c r="G51" s="18"/>
      <c r="H51" s="18"/>
      <c r="I51" s="18"/>
      <c r="J51" s="18"/>
      <c r="K51" s="18"/>
      <c r="L51" s="18"/>
      <c r="M51" s="18"/>
      <c r="N51" s="18"/>
      <c r="O51" s="18"/>
      <c r="P51" s="18"/>
      <c r="Q51" s="18"/>
      <c r="R51" s="18"/>
      <c r="S51" s="18"/>
      <c r="T51" s="18"/>
      <c r="U51" s="18"/>
      <c r="V51" s="18"/>
      <c r="W51" s="18"/>
      <c r="X51" s="18"/>
      <c r="Y51" s="5"/>
      <c r="Z51" s="5"/>
      <c r="AA51" s="5"/>
      <c r="AB51" s="5"/>
      <c r="AC51" s="5"/>
      <c r="AD51" s="5"/>
      <c r="AE51" s="5"/>
      <c r="AF51" s="5"/>
      <c r="AG51" s="5"/>
      <c r="AH51" s="5"/>
      <c r="AI51" s="5"/>
      <c r="AJ51" s="5"/>
    </row>
    <row r="52" spans="1:36" ht="13.5">
      <c r="A52" s="18"/>
      <c r="B52" s="18"/>
      <c r="C52" s="18"/>
      <c r="D52" s="18"/>
      <c r="E52" s="18"/>
      <c r="F52" s="18"/>
      <c r="G52" s="18"/>
      <c r="H52" s="18"/>
      <c r="I52" s="18"/>
      <c r="J52" s="18"/>
      <c r="K52" s="18"/>
      <c r="L52" s="18"/>
      <c r="M52" s="18"/>
      <c r="N52" s="18"/>
      <c r="O52" s="18"/>
      <c r="P52" s="18"/>
      <c r="Q52" s="18"/>
      <c r="R52" s="18"/>
      <c r="S52" s="18"/>
      <c r="T52" s="18"/>
      <c r="U52" s="18"/>
      <c r="V52" s="18"/>
      <c r="W52" s="18"/>
      <c r="X52" s="18"/>
      <c r="Y52" s="5"/>
      <c r="Z52" s="5"/>
      <c r="AA52" s="5"/>
      <c r="AB52" s="5"/>
      <c r="AC52" s="5"/>
      <c r="AD52" s="5"/>
      <c r="AE52" s="5"/>
      <c r="AF52" s="5"/>
      <c r="AG52" s="5"/>
      <c r="AH52" s="5"/>
      <c r="AI52" s="5"/>
      <c r="AJ52" s="5"/>
    </row>
    <row r="53" spans="1:36" ht="13.5">
      <c r="A53" s="18"/>
      <c r="B53" s="18"/>
      <c r="C53" s="18"/>
      <c r="D53" s="18"/>
      <c r="E53" s="18"/>
      <c r="F53" s="18"/>
      <c r="G53" s="18"/>
      <c r="H53" s="18"/>
      <c r="I53" s="18"/>
      <c r="J53" s="18"/>
      <c r="K53" s="18"/>
      <c r="L53" s="18"/>
      <c r="M53" s="18"/>
      <c r="N53" s="18"/>
      <c r="O53" s="18"/>
      <c r="P53" s="18"/>
      <c r="Q53" s="18"/>
      <c r="R53" s="18"/>
      <c r="S53" s="18"/>
      <c r="T53" s="18"/>
      <c r="U53" s="18"/>
      <c r="V53" s="18"/>
      <c r="W53" s="18"/>
      <c r="X53" s="18"/>
      <c r="Y53" s="5"/>
      <c r="Z53" s="5"/>
      <c r="AA53" s="5"/>
      <c r="AB53" s="5"/>
      <c r="AC53" s="5"/>
      <c r="AD53" s="5"/>
      <c r="AE53" s="5"/>
      <c r="AF53" s="5"/>
      <c r="AG53" s="5"/>
      <c r="AH53" s="5"/>
      <c r="AI53" s="5"/>
      <c r="AJ53" s="5"/>
    </row>
    <row r="54" spans="1:36" ht="13.5">
      <c r="A54" s="18"/>
      <c r="B54" s="18"/>
      <c r="C54" s="18"/>
      <c r="D54" s="18"/>
      <c r="E54" s="18"/>
      <c r="F54" s="18"/>
      <c r="G54" s="18"/>
      <c r="H54" s="18"/>
      <c r="I54" s="18"/>
      <c r="J54" s="18"/>
      <c r="K54" s="18"/>
      <c r="L54" s="18"/>
      <c r="M54" s="18"/>
      <c r="N54" s="18"/>
      <c r="O54" s="18"/>
      <c r="P54" s="18"/>
      <c r="Q54" s="18"/>
      <c r="R54" s="18"/>
      <c r="S54" s="18"/>
      <c r="T54" s="18"/>
      <c r="U54" s="18"/>
      <c r="V54" s="18"/>
      <c r="W54" s="18"/>
      <c r="X54" s="18"/>
      <c r="Y54" s="5"/>
      <c r="Z54" s="5"/>
      <c r="AA54" s="5"/>
      <c r="AB54" s="5"/>
      <c r="AC54" s="5"/>
      <c r="AD54" s="5"/>
      <c r="AE54" s="5"/>
      <c r="AF54" s="5"/>
      <c r="AG54" s="5"/>
      <c r="AH54" s="5"/>
      <c r="AI54" s="5"/>
      <c r="AJ54" s="5"/>
    </row>
    <row r="55" spans="1:36" ht="13.5">
      <c r="A55" s="18"/>
      <c r="B55" s="18"/>
      <c r="C55" s="18"/>
      <c r="D55" s="18"/>
      <c r="E55" s="18"/>
      <c r="F55" s="18"/>
      <c r="G55" s="18"/>
      <c r="H55" s="18"/>
      <c r="I55" s="18"/>
      <c r="J55" s="18"/>
      <c r="K55" s="18"/>
      <c r="L55" s="18"/>
      <c r="M55" s="18"/>
      <c r="N55" s="18"/>
      <c r="O55" s="18"/>
      <c r="P55" s="18"/>
      <c r="Q55" s="18"/>
      <c r="R55" s="18"/>
      <c r="S55" s="18"/>
      <c r="T55" s="18"/>
      <c r="U55" s="18"/>
      <c r="V55" s="18"/>
      <c r="W55" s="18"/>
      <c r="X55" s="18"/>
      <c r="Y55" s="5"/>
      <c r="Z55" s="5"/>
      <c r="AA55" s="5"/>
      <c r="AB55" s="5"/>
      <c r="AC55" s="5"/>
      <c r="AD55" s="5"/>
      <c r="AE55" s="5"/>
      <c r="AF55" s="5"/>
      <c r="AG55" s="5"/>
      <c r="AH55" s="5"/>
      <c r="AI55" s="5"/>
      <c r="AJ55" s="5"/>
    </row>
    <row r="56" spans="1:36" ht="13.5">
      <c r="A56" s="18"/>
      <c r="B56" s="18"/>
      <c r="C56" s="18"/>
      <c r="D56" s="18"/>
      <c r="E56" s="18"/>
      <c r="F56" s="18"/>
      <c r="G56" s="18"/>
      <c r="H56" s="18"/>
      <c r="I56" s="18"/>
      <c r="J56" s="18"/>
      <c r="K56" s="18"/>
      <c r="L56" s="18"/>
      <c r="M56" s="18"/>
      <c r="N56" s="18"/>
      <c r="O56" s="18"/>
      <c r="P56" s="18"/>
      <c r="Q56" s="18"/>
      <c r="R56" s="18"/>
      <c r="S56" s="18"/>
      <c r="T56" s="18"/>
      <c r="U56" s="18"/>
      <c r="V56" s="18"/>
      <c r="W56" s="18"/>
      <c r="X56" s="18"/>
      <c r="Y56" s="5"/>
      <c r="Z56" s="5"/>
      <c r="AA56" s="5"/>
      <c r="AB56" s="5"/>
      <c r="AC56" s="5"/>
      <c r="AD56" s="5"/>
      <c r="AE56" s="5"/>
      <c r="AF56" s="5"/>
      <c r="AG56" s="5"/>
      <c r="AH56" s="5"/>
      <c r="AI56" s="5"/>
      <c r="AJ56" s="5"/>
    </row>
    <row r="57" spans="1:36" ht="13.5">
      <c r="A57" s="18"/>
      <c r="B57" s="18"/>
      <c r="C57" s="18"/>
      <c r="D57" s="18"/>
      <c r="E57" s="18"/>
      <c r="F57" s="18"/>
      <c r="G57" s="18"/>
      <c r="H57" s="18"/>
      <c r="I57" s="18"/>
      <c r="J57" s="18"/>
      <c r="K57" s="18"/>
      <c r="L57" s="18"/>
      <c r="M57" s="18"/>
      <c r="N57" s="18"/>
      <c r="O57" s="18"/>
      <c r="P57" s="18"/>
      <c r="Q57" s="18"/>
      <c r="R57" s="18"/>
      <c r="S57" s="18"/>
      <c r="T57" s="18"/>
      <c r="U57" s="18"/>
      <c r="V57" s="18"/>
      <c r="W57" s="18"/>
      <c r="X57" s="18"/>
      <c r="Y57" s="5"/>
      <c r="Z57" s="5"/>
      <c r="AA57" s="5"/>
      <c r="AB57" s="5"/>
      <c r="AC57" s="5"/>
      <c r="AD57" s="5"/>
      <c r="AE57" s="5"/>
      <c r="AF57" s="5"/>
      <c r="AG57" s="5"/>
      <c r="AH57" s="5"/>
      <c r="AI57" s="5"/>
      <c r="AJ57" s="5"/>
    </row>
    <row r="58" spans="1:36" ht="13.5">
      <c r="A58" s="18"/>
      <c r="B58" s="18"/>
      <c r="C58" s="18"/>
      <c r="D58" s="18"/>
      <c r="E58" s="18"/>
      <c r="F58" s="18"/>
      <c r="G58" s="18"/>
      <c r="H58" s="18"/>
      <c r="I58" s="18"/>
      <c r="J58" s="18"/>
      <c r="K58" s="18"/>
      <c r="L58" s="18"/>
      <c r="M58" s="18"/>
      <c r="N58" s="18"/>
      <c r="O58" s="18"/>
      <c r="P58" s="18"/>
      <c r="Q58" s="18"/>
      <c r="R58" s="18"/>
      <c r="S58" s="18"/>
      <c r="T58" s="18"/>
      <c r="U58" s="18"/>
      <c r="V58" s="18"/>
      <c r="W58" s="18"/>
      <c r="X58" s="18"/>
      <c r="Y58" s="5"/>
      <c r="Z58" s="5"/>
      <c r="AA58" s="5"/>
      <c r="AB58" s="5"/>
      <c r="AC58" s="5"/>
      <c r="AD58" s="5"/>
      <c r="AE58" s="5"/>
      <c r="AF58" s="5"/>
      <c r="AG58" s="5"/>
      <c r="AH58" s="5"/>
      <c r="AI58" s="5"/>
      <c r="AJ58" s="5"/>
    </row>
    <row r="59" spans="1:36" ht="13.5">
      <c r="A59" s="18"/>
      <c r="B59" s="18"/>
      <c r="C59" s="18"/>
      <c r="D59" s="18"/>
      <c r="E59" s="18"/>
      <c r="F59" s="18"/>
      <c r="G59" s="18"/>
      <c r="H59" s="18"/>
      <c r="I59" s="18"/>
      <c r="J59" s="18"/>
      <c r="K59" s="18"/>
      <c r="L59" s="18"/>
      <c r="M59" s="18"/>
      <c r="N59" s="18"/>
      <c r="O59" s="18"/>
      <c r="P59" s="18"/>
      <c r="Q59" s="18"/>
      <c r="R59" s="18"/>
      <c r="S59" s="18"/>
      <c r="T59" s="18"/>
      <c r="U59" s="18"/>
      <c r="V59" s="18"/>
      <c r="W59" s="18"/>
      <c r="X59" s="18"/>
      <c r="Y59" s="5"/>
      <c r="Z59" s="5"/>
      <c r="AA59" s="5"/>
      <c r="AB59" s="5"/>
      <c r="AC59" s="5"/>
      <c r="AD59" s="5"/>
      <c r="AE59" s="5"/>
      <c r="AF59" s="5"/>
      <c r="AG59" s="5"/>
      <c r="AH59" s="5"/>
      <c r="AI59" s="5"/>
      <c r="AJ59" s="5"/>
    </row>
    <row r="60" spans="1:36" ht="13.5">
      <c r="A60" s="18"/>
      <c r="B60" s="18"/>
      <c r="C60" s="18"/>
      <c r="D60" s="18"/>
      <c r="E60" s="18"/>
      <c r="F60" s="18"/>
      <c r="G60" s="18"/>
      <c r="H60" s="18"/>
      <c r="I60" s="18"/>
      <c r="J60" s="18"/>
      <c r="K60" s="18"/>
      <c r="L60" s="18"/>
      <c r="M60" s="18"/>
      <c r="N60" s="18"/>
      <c r="O60" s="18"/>
      <c r="P60" s="18"/>
      <c r="Q60" s="18"/>
      <c r="R60" s="18"/>
      <c r="S60" s="18"/>
      <c r="T60" s="18"/>
      <c r="U60" s="18"/>
      <c r="V60" s="18"/>
      <c r="W60" s="18"/>
      <c r="X60" s="18"/>
      <c r="Y60" s="5"/>
      <c r="Z60" s="5"/>
      <c r="AA60" s="5"/>
      <c r="AB60" s="5"/>
      <c r="AC60" s="5"/>
      <c r="AD60" s="5"/>
      <c r="AE60" s="5"/>
      <c r="AF60" s="5"/>
      <c r="AG60" s="5"/>
      <c r="AH60" s="5"/>
      <c r="AI60" s="5"/>
      <c r="AJ60" s="5"/>
    </row>
    <row r="61" spans="1:36" ht="13.5">
      <c r="A61" s="18"/>
      <c r="B61" s="18"/>
      <c r="C61" s="18"/>
      <c r="D61" s="18"/>
      <c r="E61" s="18"/>
      <c r="F61" s="18"/>
      <c r="G61" s="18"/>
      <c r="H61" s="18"/>
      <c r="I61" s="18"/>
      <c r="J61" s="18"/>
      <c r="K61" s="18"/>
      <c r="L61" s="18"/>
      <c r="M61" s="18"/>
      <c r="N61" s="18"/>
      <c r="O61" s="18"/>
      <c r="P61" s="18"/>
      <c r="Q61" s="18"/>
      <c r="R61" s="18"/>
      <c r="S61" s="18"/>
      <c r="T61" s="18"/>
      <c r="U61" s="18"/>
      <c r="V61" s="18"/>
      <c r="W61" s="18"/>
      <c r="X61" s="18"/>
      <c r="Y61" s="5"/>
      <c r="Z61" s="5"/>
      <c r="AA61" s="5"/>
      <c r="AB61" s="5"/>
      <c r="AC61" s="5"/>
      <c r="AD61" s="5"/>
      <c r="AE61" s="5"/>
      <c r="AF61" s="5"/>
      <c r="AG61" s="5"/>
      <c r="AH61" s="5"/>
      <c r="AI61" s="5"/>
      <c r="AJ61" s="5"/>
    </row>
    <row r="62" spans="1:36" ht="13.5">
      <c r="A62" s="18"/>
      <c r="B62" s="18"/>
      <c r="C62" s="18"/>
      <c r="D62" s="18"/>
      <c r="E62" s="18"/>
      <c r="F62" s="18"/>
      <c r="G62" s="18"/>
      <c r="H62" s="18"/>
      <c r="I62" s="18"/>
      <c r="J62" s="18"/>
      <c r="K62" s="18"/>
      <c r="L62" s="18"/>
      <c r="M62" s="18"/>
      <c r="N62" s="18"/>
      <c r="O62" s="18"/>
      <c r="P62" s="18"/>
      <c r="Q62" s="18"/>
      <c r="R62" s="18"/>
      <c r="S62" s="18"/>
      <c r="T62" s="18"/>
      <c r="U62" s="18"/>
      <c r="V62" s="18"/>
      <c r="W62" s="18"/>
      <c r="X62" s="18"/>
      <c r="Y62" s="5"/>
      <c r="Z62" s="5"/>
      <c r="AA62" s="5"/>
      <c r="AB62" s="5"/>
      <c r="AC62" s="5"/>
      <c r="AD62" s="5"/>
      <c r="AE62" s="5"/>
      <c r="AF62" s="5"/>
      <c r="AG62" s="5"/>
      <c r="AH62" s="5"/>
      <c r="AI62" s="5"/>
      <c r="AJ62" s="5"/>
    </row>
    <row r="63" spans="1:36" ht="13.5">
      <c r="A63" s="18"/>
      <c r="B63" s="18"/>
      <c r="C63" s="18"/>
      <c r="D63" s="18"/>
      <c r="E63" s="18"/>
      <c r="F63" s="18"/>
      <c r="G63" s="18"/>
      <c r="H63" s="18"/>
      <c r="I63" s="18"/>
      <c r="J63" s="18"/>
      <c r="K63" s="18"/>
      <c r="L63" s="18"/>
      <c r="M63" s="18"/>
      <c r="N63" s="18"/>
      <c r="O63" s="18"/>
      <c r="P63" s="18"/>
      <c r="Q63" s="18"/>
      <c r="R63" s="18"/>
      <c r="S63" s="18"/>
      <c r="T63" s="18"/>
      <c r="U63" s="18"/>
      <c r="V63" s="18"/>
      <c r="W63" s="18"/>
      <c r="X63" s="18"/>
      <c r="Y63" s="5"/>
      <c r="Z63" s="5"/>
      <c r="AA63" s="5"/>
      <c r="AB63" s="5"/>
      <c r="AC63" s="5"/>
      <c r="AD63" s="5"/>
      <c r="AE63" s="5"/>
      <c r="AF63" s="5"/>
      <c r="AG63" s="5"/>
      <c r="AH63" s="5"/>
      <c r="AI63" s="5"/>
      <c r="AJ63" s="5"/>
    </row>
    <row r="64" spans="1:36" ht="13.5">
      <c r="A64" s="18"/>
      <c r="B64" s="18"/>
      <c r="C64" s="18"/>
      <c r="D64" s="18"/>
      <c r="E64" s="18"/>
      <c r="F64" s="18"/>
      <c r="G64" s="18"/>
      <c r="H64" s="18"/>
      <c r="I64" s="18"/>
      <c r="J64" s="18"/>
      <c r="K64" s="18"/>
      <c r="L64" s="18"/>
      <c r="M64" s="18"/>
      <c r="N64" s="18"/>
      <c r="O64" s="18"/>
      <c r="P64" s="18"/>
      <c r="Q64" s="18"/>
      <c r="R64" s="18"/>
      <c r="S64" s="18"/>
      <c r="T64" s="18"/>
      <c r="U64" s="18"/>
      <c r="V64" s="18"/>
      <c r="W64" s="18"/>
      <c r="X64" s="18"/>
      <c r="Y64" s="5"/>
      <c r="Z64" s="5"/>
      <c r="AA64" s="5"/>
      <c r="AB64" s="5"/>
      <c r="AC64" s="5"/>
      <c r="AD64" s="5"/>
      <c r="AE64" s="5"/>
      <c r="AF64" s="5"/>
      <c r="AG64" s="5"/>
      <c r="AH64" s="5"/>
      <c r="AI64" s="5"/>
      <c r="AJ64" s="5"/>
    </row>
    <row r="65" spans="1:36" ht="13.5">
      <c r="A65" s="18"/>
      <c r="B65" s="18"/>
      <c r="C65" s="18"/>
      <c r="D65" s="18"/>
      <c r="E65" s="18"/>
      <c r="F65" s="18"/>
      <c r="G65" s="18"/>
      <c r="H65" s="18"/>
      <c r="I65" s="18"/>
      <c r="J65" s="18"/>
      <c r="K65" s="18"/>
      <c r="L65" s="18"/>
      <c r="M65" s="18"/>
      <c r="N65" s="18"/>
      <c r="O65" s="18"/>
      <c r="P65" s="18"/>
      <c r="Q65" s="18"/>
      <c r="R65" s="18"/>
      <c r="S65" s="18"/>
      <c r="T65" s="18"/>
      <c r="U65" s="18"/>
      <c r="V65" s="18"/>
      <c r="W65" s="18"/>
      <c r="X65" s="18"/>
      <c r="Y65" s="5"/>
      <c r="Z65" s="5"/>
      <c r="AA65" s="5"/>
      <c r="AB65" s="5"/>
      <c r="AC65" s="5"/>
      <c r="AD65" s="5"/>
      <c r="AE65" s="5"/>
      <c r="AF65" s="5"/>
      <c r="AG65" s="5"/>
      <c r="AH65" s="5"/>
      <c r="AI65" s="5"/>
      <c r="AJ65" s="5"/>
    </row>
    <row r="66" spans="1:36" ht="13.5">
      <c r="A66" s="18"/>
      <c r="B66" s="18"/>
      <c r="C66" s="18"/>
      <c r="D66" s="18"/>
      <c r="E66" s="18"/>
      <c r="F66" s="18"/>
      <c r="G66" s="18"/>
      <c r="H66" s="18"/>
      <c r="I66" s="18"/>
      <c r="J66" s="18"/>
      <c r="K66" s="18"/>
      <c r="L66" s="18"/>
      <c r="M66" s="18"/>
      <c r="N66" s="18"/>
      <c r="O66" s="18"/>
      <c r="P66" s="18"/>
      <c r="Q66" s="18"/>
      <c r="R66" s="18"/>
      <c r="S66" s="18"/>
      <c r="T66" s="18"/>
      <c r="U66" s="18"/>
      <c r="V66" s="5"/>
      <c r="W66" s="5"/>
      <c r="X66" s="5"/>
      <c r="Y66" s="5"/>
      <c r="Z66" s="5"/>
      <c r="AA66" s="5"/>
      <c r="AB66" s="5"/>
      <c r="AC66" s="5"/>
      <c r="AD66" s="5"/>
      <c r="AE66" s="5"/>
      <c r="AF66" s="5"/>
      <c r="AG66" s="5"/>
      <c r="AH66" s="5"/>
      <c r="AI66" s="5"/>
      <c r="AJ66" s="5"/>
    </row>
    <row r="67" spans="1:36" ht="13.5">
      <c r="A67" s="18"/>
      <c r="B67" s="18"/>
      <c r="C67" s="18"/>
      <c r="D67" s="18"/>
      <c r="E67" s="18"/>
      <c r="F67" s="18"/>
      <c r="G67" s="18"/>
      <c r="H67" s="18"/>
      <c r="I67" s="18"/>
      <c r="J67" s="18"/>
      <c r="K67" s="18"/>
      <c r="L67" s="18"/>
      <c r="M67" s="18"/>
      <c r="N67" s="18"/>
      <c r="O67" s="18"/>
      <c r="P67" s="18"/>
      <c r="Q67" s="18"/>
      <c r="R67" s="18"/>
      <c r="S67" s="18"/>
      <c r="T67" s="18"/>
      <c r="U67" s="5"/>
      <c r="V67" s="5"/>
      <c r="W67" s="5"/>
      <c r="X67" s="5"/>
      <c r="Y67" s="5"/>
      <c r="Z67" s="5"/>
      <c r="AA67" s="5"/>
      <c r="AB67" s="5"/>
      <c r="AC67" s="5"/>
      <c r="AD67" s="5"/>
      <c r="AE67" s="5"/>
      <c r="AF67" s="5"/>
      <c r="AG67" s="5"/>
      <c r="AH67" s="5"/>
      <c r="AI67" s="5"/>
      <c r="AJ67" s="5"/>
    </row>
    <row r="68" spans="1:36"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36"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sheetData>
  <sheetProtection password="E1D3" sheet="1" objects="1" scenarios="1" formatColumns="0" formatRows="0" selectLockedCells="1" selectUnlockedCells="1"/>
  <mergeCells count="178">
    <mergeCell ref="T20:U20"/>
    <mergeCell ref="A22:C23"/>
    <mergeCell ref="T18:U18"/>
    <mergeCell ref="T19:U19"/>
    <mergeCell ref="F19:G19"/>
    <mergeCell ref="F18:G18"/>
    <mergeCell ref="B19:C19"/>
    <mergeCell ref="H19:I19"/>
    <mergeCell ref="R20:S20"/>
    <mergeCell ref="J18:K18"/>
    <mergeCell ref="T12:U12"/>
    <mergeCell ref="T13:U13"/>
    <mergeCell ref="T10:U10"/>
    <mergeCell ref="T11:U11"/>
    <mergeCell ref="T16:U16"/>
    <mergeCell ref="T17:U17"/>
    <mergeCell ref="T14:U14"/>
    <mergeCell ref="T15:U15"/>
    <mergeCell ref="A28:A29"/>
    <mergeCell ref="L20:M20"/>
    <mergeCell ref="R17:S17"/>
    <mergeCell ref="R18:S18"/>
    <mergeCell ref="R19:S19"/>
    <mergeCell ref="R14:S14"/>
    <mergeCell ref="R15:S15"/>
    <mergeCell ref="R16:S16"/>
    <mergeCell ref="D19:E19"/>
    <mergeCell ref="F16:G16"/>
    <mergeCell ref="B8:C8"/>
    <mergeCell ref="B9:C9"/>
    <mergeCell ref="J10:K10"/>
    <mergeCell ref="J11:K11"/>
    <mergeCell ref="H8:I8"/>
    <mergeCell ref="H9:I9"/>
    <mergeCell ref="J8:K8"/>
    <mergeCell ref="J9:K9"/>
    <mergeCell ref="R8:S8"/>
    <mergeCell ref="R9:S9"/>
    <mergeCell ref="R10:S10"/>
    <mergeCell ref="R11:S11"/>
    <mergeCell ref="B12:C12"/>
    <mergeCell ref="D12:E12"/>
    <mergeCell ref="R12:S12"/>
    <mergeCell ref="F11:G11"/>
    <mergeCell ref="N12:O12"/>
    <mergeCell ref="N8:O8"/>
    <mergeCell ref="R13:S13"/>
    <mergeCell ref="D8:E8"/>
    <mergeCell ref="D9:E9"/>
    <mergeCell ref="D10:E10"/>
    <mergeCell ref="F8:G8"/>
    <mergeCell ref="F10:G10"/>
    <mergeCell ref="F9:G9"/>
    <mergeCell ref="H10:I10"/>
    <mergeCell ref="J12:K12"/>
    <mergeCell ref="J13:K13"/>
    <mergeCell ref="D18:E18"/>
    <mergeCell ref="D14:E14"/>
    <mergeCell ref="D15:E15"/>
    <mergeCell ref="A5:T7"/>
    <mergeCell ref="T8:U8"/>
    <mergeCell ref="T9:U9"/>
    <mergeCell ref="B10:C10"/>
    <mergeCell ref="B11:C11"/>
    <mergeCell ref="F12:G12"/>
    <mergeCell ref="D11:E11"/>
    <mergeCell ref="B18:C18"/>
    <mergeCell ref="H11:I11"/>
    <mergeCell ref="H12:I12"/>
    <mergeCell ref="H13:I13"/>
    <mergeCell ref="B14:C14"/>
    <mergeCell ref="D16:E16"/>
    <mergeCell ref="D17:E17"/>
    <mergeCell ref="H16:I16"/>
    <mergeCell ref="F17:G17"/>
    <mergeCell ref="F13:G13"/>
    <mergeCell ref="J14:K14"/>
    <mergeCell ref="J15:K15"/>
    <mergeCell ref="B16:C16"/>
    <mergeCell ref="F14:G14"/>
    <mergeCell ref="F15:G15"/>
    <mergeCell ref="D13:E13"/>
    <mergeCell ref="B20:C20"/>
    <mergeCell ref="D20:E20"/>
    <mergeCell ref="F20:G20"/>
    <mergeCell ref="H20:I20"/>
    <mergeCell ref="B13:C13"/>
    <mergeCell ref="B15:C15"/>
    <mergeCell ref="H18:I18"/>
    <mergeCell ref="H14:I14"/>
    <mergeCell ref="H15:I15"/>
    <mergeCell ref="B17:C17"/>
    <mergeCell ref="L18:M18"/>
    <mergeCell ref="N16:O16"/>
    <mergeCell ref="L17:M17"/>
    <mergeCell ref="N17:O17"/>
    <mergeCell ref="J16:K16"/>
    <mergeCell ref="J17:K17"/>
    <mergeCell ref="P16:Q16"/>
    <mergeCell ref="L14:M14"/>
    <mergeCell ref="L15:M15"/>
    <mergeCell ref="L16:M16"/>
    <mergeCell ref="P14:Q14"/>
    <mergeCell ref="P15:Q15"/>
    <mergeCell ref="N14:O14"/>
    <mergeCell ref="N15:O15"/>
    <mergeCell ref="P8:Q8"/>
    <mergeCell ref="N9:O9"/>
    <mergeCell ref="P9:Q9"/>
    <mergeCell ref="L8:M8"/>
    <mergeCell ref="L9:M9"/>
    <mergeCell ref="L10:M10"/>
    <mergeCell ref="L11:M11"/>
    <mergeCell ref="P12:Q12"/>
    <mergeCell ref="J19:K19"/>
    <mergeCell ref="H17:I17"/>
    <mergeCell ref="N10:O10"/>
    <mergeCell ref="P10:Q10"/>
    <mergeCell ref="N11:O11"/>
    <mergeCell ref="P11:Q11"/>
    <mergeCell ref="L12:M12"/>
    <mergeCell ref="L13:M13"/>
    <mergeCell ref="N13:O13"/>
    <mergeCell ref="P13:Q13"/>
    <mergeCell ref="H26:H27"/>
    <mergeCell ref="G26:G27"/>
    <mergeCell ref="P17:Q17"/>
    <mergeCell ref="N18:O18"/>
    <mergeCell ref="P18:Q18"/>
    <mergeCell ref="J24:K25"/>
    <mergeCell ref="J20:K20"/>
    <mergeCell ref="N19:O19"/>
    <mergeCell ref="P19:Q19"/>
    <mergeCell ref="L19:M19"/>
    <mergeCell ref="H24:H25"/>
    <mergeCell ref="H28:H29"/>
    <mergeCell ref="F28:F29"/>
    <mergeCell ref="I24:I25"/>
    <mergeCell ref="E35:G35"/>
    <mergeCell ref="H32:J32"/>
    <mergeCell ref="I26:I27"/>
    <mergeCell ref="I28:I29"/>
    <mergeCell ref="J26:K27"/>
    <mergeCell ref="J28:K29"/>
    <mergeCell ref="E24:E25"/>
    <mergeCell ref="E32:G32"/>
    <mergeCell ref="E26:E27"/>
    <mergeCell ref="F26:F27"/>
    <mergeCell ref="F24:F25"/>
    <mergeCell ref="G24:G25"/>
    <mergeCell ref="G28:G29"/>
    <mergeCell ref="A39:A40"/>
    <mergeCell ref="B39:C40"/>
    <mergeCell ref="B36:D36"/>
    <mergeCell ref="B37:D37"/>
    <mergeCell ref="K38:M38"/>
    <mergeCell ref="K37:M37"/>
    <mergeCell ref="E36:G36"/>
    <mergeCell ref="B28:B29"/>
    <mergeCell ref="E37:G37"/>
    <mergeCell ref="E33:G33"/>
    <mergeCell ref="E34:G34"/>
    <mergeCell ref="B35:D35"/>
    <mergeCell ref="B32:D32"/>
    <mergeCell ref="B33:D33"/>
    <mergeCell ref="B34:D34"/>
    <mergeCell ref="D28:D29"/>
    <mergeCell ref="E28:E29"/>
    <mergeCell ref="B41:C42"/>
    <mergeCell ref="B43:C44"/>
    <mergeCell ref="A41:A42"/>
    <mergeCell ref="A43:A44"/>
    <mergeCell ref="A24:A25"/>
    <mergeCell ref="D24:D25"/>
    <mergeCell ref="A26:A27"/>
    <mergeCell ref="D26:D27"/>
    <mergeCell ref="B24:B25"/>
    <mergeCell ref="B26:B27"/>
  </mergeCells>
  <hyperlinks>
    <hyperlink ref="Q4" r:id="rId1" display="boers010@umn.edu"/>
  </hyperlinks>
  <printOptions/>
  <pageMargins left="0.25" right="0.25" top="0.5" bottom="0.5" header="0.5" footer="0.5"/>
  <pageSetup horizontalDpi="600" verticalDpi="600" orientation="landscape"/>
  <drawing r:id="rId2"/>
</worksheet>
</file>

<file path=xl/worksheets/sheet5.xml><?xml version="1.0" encoding="utf-8"?>
<worksheet xmlns="http://schemas.openxmlformats.org/spreadsheetml/2006/main" xmlns:r="http://schemas.openxmlformats.org/officeDocument/2006/relationships">
  <sheetPr>
    <tabColor indexed="16"/>
  </sheetPr>
  <dimension ref="A1:AB321"/>
  <sheetViews>
    <sheetView zoomScalePageLayoutView="0" workbookViewId="0" topLeftCell="A1">
      <pane ySplit="10" topLeftCell="A124" activePane="bottomLeft" state="frozen"/>
      <selection pane="topLeft" activeCell="A1" sqref="A1"/>
      <selection pane="bottomLeft" activeCell="A11" sqref="A11"/>
    </sheetView>
  </sheetViews>
  <sheetFormatPr defaultColWidth="8.8515625" defaultRowHeight="12.75"/>
  <cols>
    <col min="1" max="1" width="34.28125" style="1" customWidth="1"/>
    <col min="2" max="11" width="5.00390625" style="1" customWidth="1"/>
    <col min="12" max="12" width="5.8515625" style="1" customWidth="1"/>
    <col min="13" max="14" width="5.00390625" style="1" customWidth="1"/>
    <col min="15" max="15" width="6.00390625" style="1" customWidth="1"/>
    <col min="16" max="16" width="5.7109375" style="1" customWidth="1"/>
    <col min="17" max="20" width="5.00390625" style="1" customWidth="1"/>
  </cols>
  <sheetData>
    <row r="1" spans="1:28" ht="18" customHeight="1">
      <c r="A1" s="104"/>
      <c r="B1" s="104"/>
      <c r="C1" s="104"/>
      <c r="D1" s="104"/>
      <c r="E1" s="104"/>
      <c r="F1" s="104"/>
      <c r="G1" s="104"/>
      <c r="H1" s="104"/>
      <c r="I1" s="104"/>
      <c r="J1" s="104"/>
      <c r="K1" s="105"/>
      <c r="L1" s="104"/>
      <c r="M1" s="6" t="s">
        <v>290</v>
      </c>
      <c r="N1" s="105"/>
      <c r="O1" s="104"/>
      <c r="P1" s="104"/>
      <c r="Q1" s="104"/>
      <c r="R1" s="104"/>
      <c r="S1" s="104"/>
      <c r="T1" s="104"/>
      <c r="U1" s="2"/>
      <c r="V1" s="2"/>
      <c r="W1" s="2"/>
      <c r="X1" s="2"/>
      <c r="Y1" s="2"/>
      <c r="Z1" s="2"/>
      <c r="AA1" s="2"/>
      <c r="AB1" s="2"/>
    </row>
    <row r="2" spans="1:28" ht="18" customHeight="1">
      <c r="A2" s="104"/>
      <c r="B2" s="104"/>
      <c r="C2" s="104"/>
      <c r="D2" s="104"/>
      <c r="E2" s="104"/>
      <c r="F2" s="104"/>
      <c r="G2" s="104"/>
      <c r="H2" s="104"/>
      <c r="I2" s="104"/>
      <c r="J2" s="104"/>
      <c r="K2" s="41"/>
      <c r="L2" s="104"/>
      <c r="M2" s="7" t="s">
        <v>291</v>
      </c>
      <c r="N2" s="41"/>
      <c r="O2" s="104"/>
      <c r="P2" s="104"/>
      <c r="Q2" s="104"/>
      <c r="R2" s="104"/>
      <c r="S2" s="104"/>
      <c r="T2" s="104"/>
      <c r="U2" s="2"/>
      <c r="V2" s="2"/>
      <c r="W2" s="2"/>
      <c r="X2" s="2"/>
      <c r="Y2" s="2"/>
      <c r="Z2" s="2"/>
      <c r="AA2" s="2"/>
      <c r="AB2" s="2"/>
    </row>
    <row r="3" spans="1:28" ht="18" customHeight="1">
      <c r="A3" s="104"/>
      <c r="B3" s="104"/>
      <c r="C3" s="104"/>
      <c r="D3" s="104"/>
      <c r="E3" s="104"/>
      <c r="F3" s="104"/>
      <c r="G3" s="104"/>
      <c r="H3" s="104"/>
      <c r="I3" s="104"/>
      <c r="J3" s="104"/>
      <c r="K3" s="41"/>
      <c r="L3" s="104"/>
      <c r="M3" s="7" t="s">
        <v>292</v>
      </c>
      <c r="N3" s="41"/>
      <c r="O3" s="104"/>
      <c r="P3" s="104"/>
      <c r="Q3" s="104"/>
      <c r="R3" s="104"/>
      <c r="S3" s="104"/>
      <c r="T3" s="104"/>
      <c r="U3" s="2"/>
      <c r="V3" s="2"/>
      <c r="W3" s="2"/>
      <c r="X3" s="2"/>
      <c r="Y3" s="2"/>
      <c r="Z3" s="2"/>
      <c r="AA3" s="2"/>
      <c r="AB3" s="2"/>
    </row>
    <row r="4" spans="1:28" ht="18" customHeight="1">
      <c r="A4" s="104"/>
      <c r="B4" s="104"/>
      <c r="C4" s="104"/>
      <c r="D4" s="104"/>
      <c r="E4" s="104"/>
      <c r="F4" s="104"/>
      <c r="G4" s="104"/>
      <c r="H4" s="104"/>
      <c r="I4" s="104"/>
      <c r="J4" s="104"/>
      <c r="K4" s="106"/>
      <c r="L4" s="104"/>
      <c r="M4" s="8" t="s">
        <v>293</v>
      </c>
      <c r="N4" s="106"/>
      <c r="O4" s="104"/>
      <c r="P4" s="104"/>
      <c r="Q4" s="104"/>
      <c r="R4" s="104"/>
      <c r="S4" s="104"/>
      <c r="T4" s="104"/>
      <c r="U4" s="2"/>
      <c r="V4" s="2"/>
      <c r="W4" s="2"/>
      <c r="X4" s="2"/>
      <c r="Y4" s="2"/>
      <c r="Z4" s="2"/>
      <c r="AA4" s="2"/>
      <c r="AB4" s="2"/>
    </row>
    <row r="5" spans="1:28" ht="12.75">
      <c r="A5" s="104"/>
      <c r="B5" s="104"/>
      <c r="C5" s="104"/>
      <c r="D5" s="104"/>
      <c r="E5" s="104"/>
      <c r="F5" s="104"/>
      <c r="G5" s="104"/>
      <c r="H5" s="104"/>
      <c r="I5" s="104"/>
      <c r="J5" s="104"/>
      <c r="K5" s="104"/>
      <c r="L5" s="104"/>
      <c r="M5" s="104"/>
      <c r="N5" s="104"/>
      <c r="O5" s="104"/>
      <c r="P5" s="104"/>
      <c r="Q5" s="104"/>
      <c r="R5" s="104"/>
      <c r="S5" s="104"/>
      <c r="T5" s="104"/>
      <c r="U5" s="2"/>
      <c r="V5" s="2"/>
      <c r="W5" s="2"/>
      <c r="X5" s="2"/>
      <c r="Y5" s="2"/>
      <c r="Z5" s="2"/>
      <c r="AA5" s="2"/>
      <c r="AB5" s="2"/>
    </row>
    <row r="6" spans="1:28" ht="103.5" customHeight="1">
      <c r="A6" s="487" t="s">
        <v>0</v>
      </c>
      <c r="B6" s="487"/>
      <c r="C6" s="487"/>
      <c r="D6" s="487"/>
      <c r="E6" s="487"/>
      <c r="F6" s="487"/>
      <c r="G6" s="487"/>
      <c r="H6" s="487"/>
      <c r="I6" s="487"/>
      <c r="J6" s="487"/>
      <c r="K6" s="487"/>
      <c r="L6" s="487"/>
      <c r="M6" s="487"/>
      <c r="N6" s="487"/>
      <c r="O6" s="487"/>
      <c r="P6" s="487"/>
      <c r="Q6" s="487"/>
      <c r="R6" s="487"/>
      <c r="S6" s="487"/>
      <c r="T6" s="487"/>
      <c r="U6" s="2"/>
      <c r="V6" s="2"/>
      <c r="W6" s="2"/>
      <c r="X6" s="2"/>
      <c r="Y6" s="2"/>
      <c r="Z6" s="2"/>
      <c r="AA6" s="2"/>
      <c r="AB6" s="2"/>
    </row>
    <row r="7" spans="1:28" ht="78" customHeight="1">
      <c r="A7" s="488" t="s">
        <v>6</v>
      </c>
      <c r="B7" s="489"/>
      <c r="C7" s="489"/>
      <c r="D7" s="489"/>
      <c r="E7" s="489"/>
      <c r="F7" s="489"/>
      <c r="G7" s="489"/>
      <c r="H7" s="489"/>
      <c r="I7" s="489"/>
      <c r="J7" s="489"/>
      <c r="K7" s="489"/>
      <c r="L7" s="489"/>
      <c r="M7" s="489"/>
      <c r="N7" s="489"/>
      <c r="O7" s="489"/>
      <c r="P7" s="489"/>
      <c r="Q7" s="489"/>
      <c r="R7" s="489"/>
      <c r="S7" s="489"/>
      <c r="T7" s="489"/>
      <c r="U7" s="2"/>
      <c r="V7" s="2"/>
      <c r="W7" s="2"/>
      <c r="X7" s="2"/>
      <c r="Y7" s="2"/>
      <c r="Z7" s="2"/>
      <c r="AA7" s="2"/>
      <c r="AB7" s="2"/>
    </row>
    <row r="8" spans="1:28" ht="16.5">
      <c r="A8" s="143"/>
      <c r="B8" s="486" t="s">
        <v>531</v>
      </c>
      <c r="C8" s="486"/>
      <c r="D8" s="486"/>
      <c r="E8" s="486"/>
      <c r="F8" s="486"/>
      <c r="G8" s="486" t="s">
        <v>532</v>
      </c>
      <c r="H8" s="486"/>
      <c r="I8" s="486" t="s">
        <v>522</v>
      </c>
      <c r="J8" s="486"/>
      <c r="K8" s="486"/>
      <c r="L8" s="486"/>
      <c r="M8" s="143"/>
      <c r="N8" s="143"/>
      <c r="O8" s="143"/>
      <c r="P8" s="143"/>
      <c r="Q8" s="143"/>
      <c r="R8" s="143"/>
      <c r="S8" s="143"/>
      <c r="T8" s="143"/>
      <c r="U8" s="107"/>
      <c r="V8" s="108"/>
      <c r="W8" s="109"/>
      <c r="X8" s="109"/>
      <c r="Y8" s="109"/>
      <c r="Z8" s="110"/>
      <c r="AA8" s="110"/>
      <c r="AB8" s="110"/>
    </row>
    <row r="9" spans="1:28" ht="16.5">
      <c r="A9" s="143" t="s">
        <v>533</v>
      </c>
      <c r="B9" s="143" t="s">
        <v>509</v>
      </c>
      <c r="C9" s="143" t="s">
        <v>510</v>
      </c>
      <c r="D9" s="143" t="s">
        <v>408</v>
      </c>
      <c r="E9" s="143" t="s">
        <v>409</v>
      </c>
      <c r="F9" s="143" t="s">
        <v>410</v>
      </c>
      <c r="G9" s="143" t="s">
        <v>511</v>
      </c>
      <c r="H9" s="143" t="s">
        <v>534</v>
      </c>
      <c r="I9" s="143" t="s">
        <v>535</v>
      </c>
      <c r="J9" s="143" t="s">
        <v>536</v>
      </c>
      <c r="K9" s="143" t="s">
        <v>537</v>
      </c>
      <c r="L9" s="143" t="s">
        <v>538</v>
      </c>
      <c r="M9" s="143" t="s">
        <v>521</v>
      </c>
      <c r="N9" s="143" t="s">
        <v>540</v>
      </c>
      <c r="O9" s="143" t="s">
        <v>518</v>
      </c>
      <c r="P9" s="143" t="s">
        <v>513</v>
      </c>
      <c r="Q9" s="143" t="s">
        <v>541</v>
      </c>
      <c r="R9" s="143" t="s">
        <v>542</v>
      </c>
      <c r="S9" s="143" t="s">
        <v>520</v>
      </c>
      <c r="T9" s="143" t="s">
        <v>543</v>
      </c>
      <c r="U9" s="107"/>
      <c r="V9" s="108"/>
      <c r="W9" s="109"/>
      <c r="X9" s="109"/>
      <c r="Y9" s="109"/>
      <c r="Z9" s="110"/>
      <c r="AA9" s="110"/>
      <c r="AB9" s="110"/>
    </row>
    <row r="10" spans="1:28" ht="16.5">
      <c r="A10" s="143"/>
      <c r="B10" s="143" t="s">
        <v>519</v>
      </c>
      <c r="C10" s="143" t="s">
        <v>519</v>
      </c>
      <c r="D10" s="486" t="s">
        <v>544</v>
      </c>
      <c r="E10" s="486"/>
      <c r="F10" s="486"/>
      <c r="G10" s="143" t="s">
        <v>519</v>
      </c>
      <c r="H10" s="143" t="s">
        <v>519</v>
      </c>
      <c r="I10" s="143" t="s">
        <v>519</v>
      </c>
      <c r="J10" s="143" t="s">
        <v>519</v>
      </c>
      <c r="K10" s="143" t="s">
        <v>519</v>
      </c>
      <c r="L10" s="143" t="s">
        <v>519</v>
      </c>
      <c r="M10" s="143" t="s">
        <v>519</v>
      </c>
      <c r="N10" s="143" t="s">
        <v>519</v>
      </c>
      <c r="O10" s="143" t="s">
        <v>519</v>
      </c>
      <c r="P10" s="143" t="s">
        <v>519</v>
      </c>
      <c r="Q10" s="143" t="s">
        <v>519</v>
      </c>
      <c r="R10" s="143" t="s">
        <v>519</v>
      </c>
      <c r="S10" s="143" t="s">
        <v>519</v>
      </c>
      <c r="T10" s="143" t="s">
        <v>308</v>
      </c>
      <c r="U10" s="107"/>
      <c r="V10" s="108"/>
      <c r="W10" s="109"/>
      <c r="X10" s="109"/>
      <c r="Y10" s="109"/>
      <c r="Z10" s="110"/>
      <c r="AA10" s="110"/>
      <c r="AB10" s="110"/>
    </row>
    <row r="11" spans="1:28" ht="16.5" customHeight="1">
      <c r="A11" s="138">
        <v>0</v>
      </c>
      <c r="B11" s="139"/>
      <c r="C11" s="139"/>
      <c r="D11" s="139"/>
      <c r="E11" s="139"/>
      <c r="F11" s="139"/>
      <c r="G11" s="139"/>
      <c r="H11" s="139"/>
      <c r="I11" s="139"/>
      <c r="J11" s="139"/>
      <c r="K11" s="139"/>
      <c r="L11" s="139"/>
      <c r="M11" s="139"/>
      <c r="N11" s="139"/>
      <c r="O11" s="139"/>
      <c r="P11" s="139"/>
      <c r="Q11" s="139"/>
      <c r="R11" s="139"/>
      <c r="S11" s="139"/>
      <c r="T11" s="139"/>
      <c r="U11" s="111"/>
      <c r="V11" s="111"/>
      <c r="W11" s="109"/>
      <c r="X11" s="109"/>
      <c r="Y11" s="109"/>
      <c r="Z11" s="112"/>
      <c r="AA11" s="110"/>
      <c r="AB11" s="110"/>
    </row>
    <row r="12" spans="1:28" ht="16.5" customHeight="1">
      <c r="A12" s="140" t="s">
        <v>180</v>
      </c>
      <c r="B12" s="140">
        <v>0</v>
      </c>
      <c r="C12" s="140">
        <v>0</v>
      </c>
      <c r="D12" s="140">
        <v>0</v>
      </c>
      <c r="E12" s="140">
        <v>0</v>
      </c>
      <c r="F12" s="140">
        <v>0</v>
      </c>
      <c r="G12" s="140">
        <v>0</v>
      </c>
      <c r="H12" s="140">
        <v>0</v>
      </c>
      <c r="I12" s="140">
        <v>0</v>
      </c>
      <c r="J12" s="140">
        <v>0</v>
      </c>
      <c r="K12" s="140">
        <v>0</v>
      </c>
      <c r="L12" s="140">
        <v>0</v>
      </c>
      <c r="M12" s="140">
        <v>0</v>
      </c>
      <c r="N12" s="140">
        <v>0</v>
      </c>
      <c r="O12" s="141">
        <v>0</v>
      </c>
      <c r="P12" s="141">
        <v>0</v>
      </c>
      <c r="Q12" s="140">
        <v>0</v>
      </c>
      <c r="R12" s="140">
        <v>0</v>
      </c>
      <c r="S12" s="140">
        <v>0</v>
      </c>
      <c r="T12" s="140">
        <v>0</v>
      </c>
      <c r="U12" s="111"/>
      <c r="V12" s="111"/>
      <c r="W12" s="109"/>
      <c r="X12" s="109"/>
      <c r="Y12" s="109"/>
      <c r="Z12" s="112"/>
      <c r="AA12" s="110"/>
      <c r="AB12" s="110"/>
    </row>
    <row r="13" spans="1:28" ht="16.5" customHeight="1">
      <c r="A13" s="140" t="s">
        <v>87</v>
      </c>
      <c r="B13" s="140">
        <v>0</v>
      </c>
      <c r="C13" s="140">
        <v>0</v>
      </c>
      <c r="D13" s="140">
        <v>0</v>
      </c>
      <c r="E13" s="140">
        <v>0</v>
      </c>
      <c r="F13" s="140">
        <v>0</v>
      </c>
      <c r="G13" s="140">
        <v>0</v>
      </c>
      <c r="H13" s="140">
        <v>0</v>
      </c>
      <c r="I13" s="140">
        <v>0</v>
      </c>
      <c r="J13" s="140">
        <v>0</v>
      </c>
      <c r="K13" s="140">
        <v>0</v>
      </c>
      <c r="L13" s="140">
        <v>0</v>
      </c>
      <c r="M13" s="140">
        <v>0</v>
      </c>
      <c r="N13" s="140">
        <v>0</v>
      </c>
      <c r="O13" s="141">
        <v>0</v>
      </c>
      <c r="P13" s="141">
        <v>0</v>
      </c>
      <c r="Q13" s="140">
        <v>0</v>
      </c>
      <c r="R13" s="140">
        <v>0</v>
      </c>
      <c r="S13" s="140">
        <v>0</v>
      </c>
      <c r="T13" s="140">
        <v>0</v>
      </c>
      <c r="U13" s="111"/>
      <c r="V13" s="111"/>
      <c r="W13" s="109"/>
      <c r="X13" s="109"/>
      <c r="Y13" s="109"/>
      <c r="Z13" s="112"/>
      <c r="AA13" s="110"/>
      <c r="AB13" s="110"/>
    </row>
    <row r="14" spans="1:28" ht="16.5" customHeight="1">
      <c r="A14" s="140" t="s">
        <v>88</v>
      </c>
      <c r="B14" s="140">
        <v>0</v>
      </c>
      <c r="C14" s="140">
        <v>0</v>
      </c>
      <c r="D14" s="140">
        <v>0</v>
      </c>
      <c r="E14" s="140">
        <v>0</v>
      </c>
      <c r="F14" s="140">
        <v>0</v>
      </c>
      <c r="G14" s="140">
        <v>0</v>
      </c>
      <c r="H14" s="140">
        <v>0</v>
      </c>
      <c r="I14" s="140">
        <v>0</v>
      </c>
      <c r="J14" s="140">
        <v>0</v>
      </c>
      <c r="K14" s="140">
        <v>0</v>
      </c>
      <c r="L14" s="140">
        <v>0</v>
      </c>
      <c r="M14" s="140">
        <v>0</v>
      </c>
      <c r="N14" s="140">
        <v>0</v>
      </c>
      <c r="O14" s="141">
        <v>0</v>
      </c>
      <c r="P14" s="141">
        <v>0</v>
      </c>
      <c r="Q14" s="140">
        <v>0</v>
      </c>
      <c r="R14" s="140">
        <v>0</v>
      </c>
      <c r="S14" s="140">
        <v>0</v>
      </c>
      <c r="T14" s="140">
        <v>0</v>
      </c>
      <c r="U14" s="111"/>
      <c r="V14" s="111"/>
      <c r="W14" s="109"/>
      <c r="X14" s="109"/>
      <c r="Y14" s="109"/>
      <c r="Z14" s="112"/>
      <c r="AA14" s="110"/>
      <c r="AB14" s="110"/>
    </row>
    <row r="15" spans="1:28" ht="16.5" customHeight="1">
      <c r="A15" s="140" t="s">
        <v>89</v>
      </c>
      <c r="B15" s="140">
        <v>0</v>
      </c>
      <c r="C15" s="140">
        <v>0</v>
      </c>
      <c r="D15" s="140">
        <v>0</v>
      </c>
      <c r="E15" s="140">
        <v>0</v>
      </c>
      <c r="F15" s="140">
        <v>0</v>
      </c>
      <c r="G15" s="140">
        <v>0</v>
      </c>
      <c r="H15" s="140">
        <v>0</v>
      </c>
      <c r="I15" s="140">
        <v>0</v>
      </c>
      <c r="J15" s="140">
        <v>0</v>
      </c>
      <c r="K15" s="140">
        <v>0</v>
      </c>
      <c r="L15" s="140">
        <v>0</v>
      </c>
      <c r="M15" s="140">
        <v>0</v>
      </c>
      <c r="N15" s="140">
        <v>0</v>
      </c>
      <c r="O15" s="141">
        <v>0</v>
      </c>
      <c r="P15" s="141">
        <v>0</v>
      </c>
      <c r="Q15" s="140">
        <v>0</v>
      </c>
      <c r="R15" s="140">
        <v>0</v>
      </c>
      <c r="S15" s="140">
        <v>0</v>
      </c>
      <c r="T15" s="140">
        <v>0</v>
      </c>
      <c r="U15" s="111"/>
      <c r="V15" s="111"/>
      <c r="W15" s="109"/>
      <c r="X15" s="109"/>
      <c r="Y15" s="109"/>
      <c r="Z15" s="112"/>
      <c r="AA15" s="110"/>
      <c r="AB15" s="110"/>
    </row>
    <row r="16" spans="1:28" ht="16.5" customHeight="1">
      <c r="A16" s="140" t="s">
        <v>90</v>
      </c>
      <c r="B16" s="140">
        <v>0</v>
      </c>
      <c r="C16" s="140">
        <v>0</v>
      </c>
      <c r="D16" s="140">
        <v>0</v>
      </c>
      <c r="E16" s="140">
        <v>0</v>
      </c>
      <c r="F16" s="140">
        <v>0</v>
      </c>
      <c r="G16" s="140">
        <v>0</v>
      </c>
      <c r="H16" s="140">
        <v>0</v>
      </c>
      <c r="I16" s="140">
        <v>0</v>
      </c>
      <c r="J16" s="140">
        <v>0</v>
      </c>
      <c r="K16" s="140">
        <v>0</v>
      </c>
      <c r="L16" s="140">
        <v>0</v>
      </c>
      <c r="M16" s="140">
        <v>0</v>
      </c>
      <c r="N16" s="140">
        <v>0</v>
      </c>
      <c r="O16" s="141">
        <v>0</v>
      </c>
      <c r="P16" s="141">
        <v>0</v>
      </c>
      <c r="Q16" s="140">
        <v>0</v>
      </c>
      <c r="R16" s="140">
        <v>0</v>
      </c>
      <c r="S16" s="140">
        <v>0</v>
      </c>
      <c r="T16" s="140">
        <v>0</v>
      </c>
      <c r="U16" s="111"/>
      <c r="V16" s="111"/>
      <c r="W16" s="109"/>
      <c r="X16" s="109"/>
      <c r="Y16" s="109"/>
      <c r="Z16" s="112"/>
      <c r="AA16" s="110"/>
      <c r="AB16" s="110"/>
    </row>
    <row r="17" spans="1:28" ht="16.5" customHeight="1">
      <c r="A17" s="140" t="s">
        <v>479</v>
      </c>
      <c r="B17" s="140">
        <v>91</v>
      </c>
      <c r="C17" s="140">
        <v>57</v>
      </c>
      <c r="D17" s="140">
        <v>57</v>
      </c>
      <c r="E17" s="140">
        <v>25</v>
      </c>
      <c r="F17" s="140">
        <v>57</v>
      </c>
      <c r="G17" s="140">
        <v>18</v>
      </c>
      <c r="H17" s="140">
        <v>30</v>
      </c>
      <c r="I17" s="140">
        <v>29</v>
      </c>
      <c r="J17" s="140">
        <v>36</v>
      </c>
      <c r="K17" s="140">
        <v>46</v>
      </c>
      <c r="L17" s="140">
        <v>40</v>
      </c>
      <c r="M17" s="140">
        <v>2</v>
      </c>
      <c r="N17" s="140">
        <v>11</v>
      </c>
      <c r="O17" s="141">
        <v>1.3</v>
      </c>
      <c r="P17" s="141">
        <v>0.23</v>
      </c>
      <c r="Q17" s="140">
        <v>1.9</v>
      </c>
      <c r="R17" s="140">
        <v>0.37</v>
      </c>
      <c r="S17" s="140">
        <v>0.33</v>
      </c>
      <c r="T17" s="140">
        <v>20</v>
      </c>
      <c r="U17" s="111"/>
      <c r="V17" s="111"/>
      <c r="W17" s="109"/>
      <c r="X17" s="109"/>
      <c r="Y17" s="109"/>
      <c r="Z17" s="112"/>
      <c r="AA17" s="110"/>
      <c r="AB17" s="110"/>
    </row>
    <row r="18" spans="1:28" ht="16.5" customHeight="1">
      <c r="A18" s="140" t="s">
        <v>91</v>
      </c>
      <c r="B18" s="140">
        <v>92</v>
      </c>
      <c r="C18" s="140">
        <v>61</v>
      </c>
      <c r="D18" s="140">
        <v>62</v>
      </c>
      <c r="E18" s="140">
        <v>31</v>
      </c>
      <c r="F18" s="140">
        <v>61</v>
      </c>
      <c r="G18" s="140">
        <v>19</v>
      </c>
      <c r="H18" s="140">
        <v>60</v>
      </c>
      <c r="I18" s="140">
        <v>26</v>
      </c>
      <c r="J18" s="140">
        <v>34</v>
      </c>
      <c r="K18" s="140">
        <v>45</v>
      </c>
      <c r="L18" s="140">
        <v>6</v>
      </c>
      <c r="M18" s="140">
        <v>3</v>
      </c>
      <c r="N18" s="140">
        <v>11</v>
      </c>
      <c r="O18" s="141">
        <v>1.42</v>
      </c>
      <c r="P18" s="141">
        <v>0.25</v>
      </c>
      <c r="Q18" s="140">
        <v>2.5</v>
      </c>
      <c r="R18" s="140">
        <v>0.45</v>
      </c>
      <c r="S18" s="140">
        <v>0.28</v>
      </c>
      <c r="T18" s="140">
        <v>21</v>
      </c>
      <c r="U18" s="111"/>
      <c r="V18" s="111"/>
      <c r="W18" s="109"/>
      <c r="X18" s="109"/>
      <c r="Y18" s="109"/>
      <c r="Z18" s="112"/>
      <c r="AA18" s="110"/>
      <c r="AB18" s="110"/>
    </row>
    <row r="19" spans="1:28" ht="16.5" customHeight="1">
      <c r="A19" s="140" t="s">
        <v>480</v>
      </c>
      <c r="B19" s="140">
        <v>24</v>
      </c>
      <c r="C19" s="140">
        <v>61</v>
      </c>
      <c r="D19" s="140">
        <v>62</v>
      </c>
      <c r="E19" s="140">
        <v>31</v>
      </c>
      <c r="F19" s="140">
        <v>61</v>
      </c>
      <c r="G19" s="140">
        <v>19</v>
      </c>
      <c r="H19" s="140">
        <v>18</v>
      </c>
      <c r="I19" s="140">
        <v>27</v>
      </c>
      <c r="J19" s="140">
        <v>34</v>
      </c>
      <c r="K19" s="140">
        <v>46</v>
      </c>
      <c r="L19" s="140">
        <v>41</v>
      </c>
      <c r="M19" s="140">
        <v>3</v>
      </c>
      <c r="N19" s="140">
        <v>9</v>
      </c>
      <c r="O19" s="141">
        <v>1.35</v>
      </c>
      <c r="P19" s="141">
        <v>0.27</v>
      </c>
      <c r="Q19" s="140">
        <v>2.6</v>
      </c>
      <c r="R19" s="140">
        <v>0.4</v>
      </c>
      <c r="S19" s="140">
        <v>0.29</v>
      </c>
      <c r="T19" s="140">
        <v>18</v>
      </c>
      <c r="U19" s="111"/>
      <c r="V19" s="111"/>
      <c r="W19" s="109"/>
      <c r="X19" s="109"/>
      <c r="Y19" s="109"/>
      <c r="Z19" s="112"/>
      <c r="AA19" s="110"/>
      <c r="AB19" s="110"/>
    </row>
    <row r="20" spans="1:28" ht="16.5" customHeight="1">
      <c r="A20" s="140" t="s">
        <v>92</v>
      </c>
      <c r="B20" s="140">
        <v>90</v>
      </c>
      <c r="C20" s="140">
        <v>59</v>
      </c>
      <c r="D20" s="140">
        <v>59</v>
      </c>
      <c r="E20" s="140">
        <v>28</v>
      </c>
      <c r="F20" s="140">
        <v>59</v>
      </c>
      <c r="G20" s="140">
        <v>19</v>
      </c>
      <c r="H20" s="140">
        <v>20</v>
      </c>
      <c r="I20" s="140">
        <v>28</v>
      </c>
      <c r="J20" s="140">
        <v>35</v>
      </c>
      <c r="K20" s="140">
        <v>45</v>
      </c>
      <c r="L20" s="140">
        <v>92</v>
      </c>
      <c r="M20" s="140">
        <v>2.5</v>
      </c>
      <c r="N20" s="140">
        <v>8</v>
      </c>
      <c r="O20" s="141">
        <v>1.41</v>
      </c>
      <c r="P20" s="141">
        <v>0.26</v>
      </c>
      <c r="Q20" s="140">
        <v>2.5</v>
      </c>
      <c r="R20" s="140">
        <v>0.38</v>
      </c>
      <c r="S20" s="140">
        <v>0.28</v>
      </c>
      <c r="T20" s="140">
        <v>22</v>
      </c>
      <c r="U20" s="111"/>
      <c r="V20" s="111"/>
      <c r="W20" s="109"/>
      <c r="X20" s="109"/>
      <c r="Y20" s="109"/>
      <c r="Z20" s="112"/>
      <c r="AA20" s="110"/>
      <c r="AB20" s="110"/>
    </row>
    <row r="21" spans="1:28" ht="16.5" customHeight="1">
      <c r="A21" s="140" t="s">
        <v>93</v>
      </c>
      <c r="B21" s="140">
        <v>88</v>
      </c>
      <c r="C21" s="140">
        <v>54</v>
      </c>
      <c r="D21" s="140">
        <v>54</v>
      </c>
      <c r="E21" s="140">
        <v>20</v>
      </c>
      <c r="F21" s="140">
        <v>54</v>
      </c>
      <c r="G21" s="140">
        <v>16</v>
      </c>
      <c r="H21" s="140">
        <v>25</v>
      </c>
      <c r="I21" s="140">
        <v>34</v>
      </c>
      <c r="J21" s="140">
        <v>40</v>
      </c>
      <c r="K21" s="140">
        <v>52</v>
      </c>
      <c r="L21" s="140">
        <v>92</v>
      </c>
      <c r="M21" s="140">
        <v>2</v>
      </c>
      <c r="N21" s="140">
        <v>8</v>
      </c>
      <c r="O21" s="141">
        <v>1.2</v>
      </c>
      <c r="P21" s="141">
        <v>0.23</v>
      </c>
      <c r="Q21" s="140">
        <v>1.7</v>
      </c>
      <c r="R21" s="140">
        <v>0.37</v>
      </c>
      <c r="S21" s="140">
        <v>0.25</v>
      </c>
      <c r="T21" s="140">
        <v>23</v>
      </c>
      <c r="U21" s="111"/>
      <c r="V21" s="111"/>
      <c r="W21" s="109"/>
      <c r="X21" s="109"/>
      <c r="Y21" s="109"/>
      <c r="Z21" s="112"/>
      <c r="AA21" s="110"/>
      <c r="AB21" s="110"/>
    </row>
    <row r="22" spans="1:28" ht="16.5" customHeight="1">
      <c r="A22" s="140" t="s">
        <v>94</v>
      </c>
      <c r="B22" s="140">
        <v>88</v>
      </c>
      <c r="C22" s="140">
        <v>50</v>
      </c>
      <c r="D22" s="140">
        <v>50</v>
      </c>
      <c r="E22" s="140">
        <v>12</v>
      </c>
      <c r="F22" s="140">
        <v>49</v>
      </c>
      <c r="G22" s="140">
        <v>13</v>
      </c>
      <c r="H22" s="140">
        <v>30</v>
      </c>
      <c r="I22" s="140">
        <v>38</v>
      </c>
      <c r="J22" s="140">
        <v>45</v>
      </c>
      <c r="K22" s="140">
        <v>59</v>
      </c>
      <c r="L22" s="140">
        <v>92</v>
      </c>
      <c r="M22" s="140">
        <v>1.3</v>
      </c>
      <c r="N22" s="140">
        <v>8</v>
      </c>
      <c r="O22" s="141">
        <v>1.18</v>
      </c>
      <c r="P22" s="141">
        <v>0.19</v>
      </c>
      <c r="Q22" s="140">
        <v>1.5</v>
      </c>
      <c r="R22" s="140">
        <v>0.35</v>
      </c>
      <c r="S22" s="140">
        <v>0.21</v>
      </c>
      <c r="T22" s="140">
        <v>23</v>
      </c>
      <c r="U22" s="111"/>
      <c r="V22" s="111"/>
      <c r="W22" s="109"/>
      <c r="X22" s="109"/>
      <c r="Y22" s="109"/>
      <c r="Z22" s="112"/>
      <c r="AA22" s="110"/>
      <c r="AB22" s="110"/>
    </row>
    <row r="23" spans="1:28" ht="16.5" customHeight="1">
      <c r="A23" s="140" t="s">
        <v>95</v>
      </c>
      <c r="B23" s="140">
        <v>89</v>
      </c>
      <c r="C23" s="140">
        <v>58</v>
      </c>
      <c r="D23" s="140">
        <v>58</v>
      </c>
      <c r="E23" s="140">
        <v>26</v>
      </c>
      <c r="F23" s="140">
        <v>58</v>
      </c>
      <c r="G23" s="140">
        <v>17</v>
      </c>
      <c r="H23" s="140">
        <v>23</v>
      </c>
      <c r="I23" s="140">
        <v>30</v>
      </c>
      <c r="J23" s="140">
        <v>36</v>
      </c>
      <c r="K23" s="140">
        <v>47</v>
      </c>
      <c r="L23" s="140">
        <v>92</v>
      </c>
      <c r="M23" s="140">
        <v>2.3</v>
      </c>
      <c r="N23" s="140">
        <v>9</v>
      </c>
      <c r="O23" s="141">
        <v>1.4</v>
      </c>
      <c r="P23" s="141">
        <v>0.24</v>
      </c>
      <c r="Q23" s="140">
        <v>2</v>
      </c>
      <c r="R23" s="140">
        <v>0.38</v>
      </c>
      <c r="S23" s="140">
        <v>0.27</v>
      </c>
      <c r="T23" s="140">
        <v>24</v>
      </c>
      <c r="U23" s="111"/>
      <c r="V23" s="111"/>
      <c r="W23" s="109"/>
      <c r="X23" s="109"/>
      <c r="Y23" s="109"/>
      <c r="Z23" s="112"/>
      <c r="AA23" s="110"/>
      <c r="AB23" s="110"/>
    </row>
    <row r="24" spans="1:28" ht="16.5" customHeight="1">
      <c r="A24" s="140" t="s">
        <v>481</v>
      </c>
      <c r="B24" s="140">
        <v>89</v>
      </c>
      <c r="C24" s="140">
        <v>69</v>
      </c>
      <c r="D24" s="140">
        <v>71</v>
      </c>
      <c r="E24" s="140">
        <v>43</v>
      </c>
      <c r="F24" s="140">
        <v>70</v>
      </c>
      <c r="G24" s="140">
        <v>28</v>
      </c>
      <c r="H24" s="140">
        <v>15</v>
      </c>
      <c r="I24" s="140">
        <v>15</v>
      </c>
      <c r="J24" s="140">
        <v>25</v>
      </c>
      <c r="K24" s="140">
        <v>34</v>
      </c>
      <c r="L24" s="140">
        <v>35</v>
      </c>
      <c r="M24" s="140">
        <v>2.7</v>
      </c>
      <c r="N24" s="140">
        <v>15</v>
      </c>
      <c r="O24" s="141">
        <v>2.88</v>
      </c>
      <c r="P24" s="141">
        <v>0.34</v>
      </c>
      <c r="Q24" s="140">
        <v>2.2</v>
      </c>
      <c r="R24" s="140"/>
      <c r="S24" s="140">
        <v>0.32</v>
      </c>
      <c r="T24" s="140">
        <v>39</v>
      </c>
      <c r="U24" s="111"/>
      <c r="V24" s="111"/>
      <c r="W24" s="109"/>
      <c r="X24" s="109"/>
      <c r="Y24" s="109"/>
      <c r="Z24" s="112"/>
      <c r="AA24" s="110"/>
      <c r="AB24" s="110"/>
    </row>
    <row r="25" spans="1:28" ht="16.5" customHeight="1">
      <c r="A25" s="140" t="s">
        <v>482</v>
      </c>
      <c r="B25" s="140">
        <v>91</v>
      </c>
      <c r="C25" s="140">
        <v>84</v>
      </c>
      <c r="D25" s="140">
        <v>92</v>
      </c>
      <c r="E25" s="140">
        <v>61</v>
      </c>
      <c r="F25" s="140">
        <v>87</v>
      </c>
      <c r="G25" s="140">
        <v>34</v>
      </c>
      <c r="H25" s="140"/>
      <c r="I25" s="140">
        <v>13</v>
      </c>
      <c r="J25" s="140">
        <v>15</v>
      </c>
      <c r="K25" s="140"/>
      <c r="L25" s="140"/>
      <c r="M25" s="140">
        <v>10.5</v>
      </c>
      <c r="N25" s="140">
        <v>6</v>
      </c>
      <c r="O25" s="141">
        <v>0.3</v>
      </c>
      <c r="P25" s="141">
        <v>0.67</v>
      </c>
      <c r="Q25" s="140"/>
      <c r="R25" s="140"/>
      <c r="S25" s="140"/>
      <c r="T25" s="140"/>
      <c r="U25" s="111"/>
      <c r="V25" s="111"/>
      <c r="W25" s="109"/>
      <c r="X25" s="109"/>
      <c r="Y25" s="109"/>
      <c r="Z25" s="112"/>
      <c r="AA25" s="110"/>
      <c r="AB25" s="110"/>
    </row>
    <row r="26" spans="1:28" ht="16.5" customHeight="1">
      <c r="A26" s="140" t="s">
        <v>483</v>
      </c>
      <c r="B26" s="140">
        <v>30</v>
      </c>
      <c r="C26" s="140">
        <v>55</v>
      </c>
      <c r="D26" s="140">
        <v>55</v>
      </c>
      <c r="E26" s="140">
        <v>21</v>
      </c>
      <c r="F26" s="140">
        <v>55</v>
      </c>
      <c r="G26" s="140">
        <v>18</v>
      </c>
      <c r="H26" s="140">
        <v>19</v>
      </c>
      <c r="I26" s="140">
        <v>28</v>
      </c>
      <c r="J26" s="140">
        <v>37</v>
      </c>
      <c r="K26" s="140">
        <v>49</v>
      </c>
      <c r="L26" s="140">
        <v>82</v>
      </c>
      <c r="M26" s="140">
        <v>3</v>
      </c>
      <c r="N26" s="140">
        <v>9</v>
      </c>
      <c r="O26" s="141">
        <v>1.4</v>
      </c>
      <c r="P26" s="141">
        <v>0.29</v>
      </c>
      <c r="Q26" s="140">
        <v>2.6</v>
      </c>
      <c r="R26" s="140">
        <v>0.41</v>
      </c>
      <c r="S26" s="140">
        <v>0.29</v>
      </c>
      <c r="T26" s="140">
        <v>26</v>
      </c>
      <c r="U26" s="111"/>
      <c r="V26" s="111"/>
      <c r="W26" s="109"/>
      <c r="X26" s="109"/>
      <c r="Y26" s="109"/>
      <c r="Z26" s="112"/>
      <c r="AA26" s="110"/>
      <c r="AB26" s="110"/>
    </row>
    <row r="27" spans="1:28" ht="16.5" customHeight="1">
      <c r="A27" s="140" t="s">
        <v>96</v>
      </c>
      <c r="B27" s="140">
        <v>39</v>
      </c>
      <c r="C27" s="140">
        <v>58</v>
      </c>
      <c r="D27" s="140">
        <v>58</v>
      </c>
      <c r="E27" s="140">
        <v>26</v>
      </c>
      <c r="F27" s="140">
        <v>58</v>
      </c>
      <c r="G27" s="140">
        <v>18</v>
      </c>
      <c r="H27" s="140">
        <v>22</v>
      </c>
      <c r="I27" s="140">
        <v>28</v>
      </c>
      <c r="J27" s="140">
        <v>37</v>
      </c>
      <c r="K27" s="140">
        <v>49</v>
      </c>
      <c r="L27" s="140">
        <v>82</v>
      </c>
      <c r="M27" s="140">
        <v>3</v>
      </c>
      <c r="N27" s="140">
        <v>9</v>
      </c>
      <c r="O27" s="141">
        <v>1.4</v>
      </c>
      <c r="P27" s="141">
        <v>0.29</v>
      </c>
      <c r="Q27" s="140">
        <v>2.6</v>
      </c>
      <c r="R27" s="140">
        <v>0.41</v>
      </c>
      <c r="S27" s="140">
        <v>0.29</v>
      </c>
      <c r="T27" s="140">
        <v>26</v>
      </c>
      <c r="U27" s="111"/>
      <c r="V27" s="111"/>
      <c r="W27" s="109"/>
      <c r="X27" s="109"/>
      <c r="Y27" s="109"/>
      <c r="Z27" s="112"/>
      <c r="AA27" s="110"/>
      <c r="AB27" s="110"/>
    </row>
    <row r="28" spans="1:28" ht="16.5" customHeight="1">
      <c r="A28" s="140" t="s">
        <v>484</v>
      </c>
      <c r="B28" s="140">
        <v>89</v>
      </c>
      <c r="C28" s="140">
        <v>47</v>
      </c>
      <c r="D28" s="140">
        <v>47</v>
      </c>
      <c r="E28" s="140">
        <v>7</v>
      </c>
      <c r="F28" s="140">
        <v>46</v>
      </c>
      <c r="G28" s="140">
        <v>11</v>
      </c>
      <c r="H28" s="140">
        <v>44</v>
      </c>
      <c r="I28" s="140">
        <v>44</v>
      </c>
      <c r="J28" s="140">
        <v>51</v>
      </c>
      <c r="K28" s="140">
        <v>68</v>
      </c>
      <c r="L28" s="140">
        <v>100</v>
      </c>
      <c r="M28" s="140">
        <v>1.3</v>
      </c>
      <c r="N28" s="140">
        <v>6</v>
      </c>
      <c r="O28" s="141">
        <v>0.9</v>
      </c>
      <c r="P28" s="141">
        <v>0.18</v>
      </c>
      <c r="Q28" s="140">
        <v>2.5</v>
      </c>
      <c r="R28" s="140"/>
      <c r="S28" s="140"/>
      <c r="T28" s="140"/>
      <c r="U28" s="111"/>
      <c r="V28" s="111"/>
      <c r="W28" s="109"/>
      <c r="X28" s="109"/>
      <c r="Y28" s="109"/>
      <c r="Z28" s="112"/>
      <c r="AA28" s="110"/>
      <c r="AB28" s="110"/>
    </row>
    <row r="29" spans="1:28" ht="16.5" customHeight="1">
      <c r="A29" s="140" t="s">
        <v>485</v>
      </c>
      <c r="B29" s="140">
        <v>89</v>
      </c>
      <c r="C29" s="140">
        <v>59</v>
      </c>
      <c r="D29" s="140">
        <v>59</v>
      </c>
      <c r="E29" s="140">
        <v>28</v>
      </c>
      <c r="F29" s="140">
        <v>59</v>
      </c>
      <c r="G29" s="140">
        <v>5</v>
      </c>
      <c r="H29" s="140">
        <v>60</v>
      </c>
      <c r="I29" s="140">
        <v>16</v>
      </c>
      <c r="J29" s="140">
        <v>27</v>
      </c>
      <c r="K29" s="140">
        <v>35</v>
      </c>
      <c r="L29" s="140">
        <v>100</v>
      </c>
      <c r="M29" s="140">
        <v>3.3</v>
      </c>
      <c r="N29" s="140">
        <v>7</v>
      </c>
      <c r="O29" s="141">
        <v>0.25</v>
      </c>
      <c r="P29" s="141">
        <v>0.1</v>
      </c>
      <c r="Q29" s="140">
        <v>2</v>
      </c>
      <c r="R29" s="140">
        <v>0.03</v>
      </c>
      <c r="S29" s="140">
        <v>0.07</v>
      </c>
      <c r="T29" s="140">
        <v>20</v>
      </c>
      <c r="U29" s="111"/>
      <c r="V29" s="111"/>
      <c r="W29" s="109"/>
      <c r="X29" s="109"/>
      <c r="Y29" s="109"/>
      <c r="Z29" s="112"/>
      <c r="AA29" s="110"/>
      <c r="AB29" s="110"/>
    </row>
    <row r="30" spans="1:28" ht="16.5" customHeight="1">
      <c r="A30" s="140" t="s">
        <v>486</v>
      </c>
      <c r="B30" s="140">
        <v>99</v>
      </c>
      <c r="C30" s="140">
        <v>0</v>
      </c>
      <c r="D30" s="140">
        <v>0</v>
      </c>
      <c r="E30" s="140">
        <v>0</v>
      </c>
      <c r="F30" s="140">
        <v>0</v>
      </c>
      <c r="G30" s="140">
        <v>163</v>
      </c>
      <c r="H30" s="140">
        <v>0</v>
      </c>
      <c r="I30" s="140">
        <v>0</v>
      </c>
      <c r="J30" s="140">
        <v>0</v>
      </c>
      <c r="K30" s="140">
        <v>0</v>
      </c>
      <c r="L30" s="140">
        <v>0</v>
      </c>
      <c r="M30" s="140">
        <v>0</v>
      </c>
      <c r="N30" s="140"/>
      <c r="O30" s="141">
        <v>0</v>
      </c>
      <c r="P30" s="141">
        <v>0</v>
      </c>
      <c r="Q30" s="140">
        <v>0</v>
      </c>
      <c r="R30" s="140">
        <v>66</v>
      </c>
      <c r="S30" s="140">
        <v>0</v>
      </c>
      <c r="T30" s="140">
        <v>0</v>
      </c>
      <c r="U30" s="111"/>
      <c r="V30" s="111"/>
      <c r="W30" s="109"/>
      <c r="X30" s="109"/>
      <c r="Y30" s="109"/>
      <c r="Z30" s="112"/>
      <c r="AA30" s="110"/>
      <c r="AB30" s="110"/>
    </row>
    <row r="31" spans="1:28" ht="16.5" customHeight="1">
      <c r="A31" s="140" t="s">
        <v>487</v>
      </c>
      <c r="B31" s="140">
        <v>99</v>
      </c>
      <c r="C31" s="140">
        <v>0</v>
      </c>
      <c r="D31" s="140">
        <v>0</v>
      </c>
      <c r="E31" s="140">
        <v>0</v>
      </c>
      <c r="F31" s="140">
        <v>0</v>
      </c>
      <c r="G31" s="140">
        <v>132</v>
      </c>
      <c r="H31" s="140">
        <v>0</v>
      </c>
      <c r="I31" s="140">
        <v>0</v>
      </c>
      <c r="J31" s="140">
        <v>0</v>
      </c>
      <c r="K31" s="140">
        <v>0</v>
      </c>
      <c r="L31" s="140">
        <v>0</v>
      </c>
      <c r="M31" s="140">
        <v>0</v>
      </c>
      <c r="N31" s="140"/>
      <c r="O31" s="141"/>
      <c r="P31" s="141"/>
      <c r="Q31" s="140"/>
      <c r="R31" s="140"/>
      <c r="S31" s="140">
        <v>24.15</v>
      </c>
      <c r="T31" s="140"/>
      <c r="U31" s="111"/>
      <c r="V31" s="111"/>
      <c r="W31" s="109"/>
      <c r="X31" s="109"/>
      <c r="Y31" s="109"/>
      <c r="Z31" s="112"/>
      <c r="AA31" s="110"/>
      <c r="AB31" s="110"/>
    </row>
    <row r="32" spans="1:28" ht="16.5" customHeight="1">
      <c r="A32" s="140" t="s">
        <v>97</v>
      </c>
      <c r="B32" s="140">
        <v>89</v>
      </c>
      <c r="C32" s="140">
        <v>65</v>
      </c>
      <c r="D32" s="140">
        <v>66</v>
      </c>
      <c r="E32" s="140">
        <v>37</v>
      </c>
      <c r="F32" s="140">
        <v>66</v>
      </c>
      <c r="G32" s="140">
        <v>5</v>
      </c>
      <c r="H32" s="140">
        <v>15</v>
      </c>
      <c r="I32" s="140">
        <v>19</v>
      </c>
      <c r="J32" s="140">
        <v>35</v>
      </c>
      <c r="K32" s="140">
        <v>45</v>
      </c>
      <c r="L32" s="140">
        <v>34</v>
      </c>
      <c r="M32" s="140">
        <v>5.2</v>
      </c>
      <c r="N32" s="140">
        <v>4</v>
      </c>
      <c r="O32" s="141">
        <v>0.13</v>
      </c>
      <c r="P32" s="141">
        <v>0.12</v>
      </c>
      <c r="Q32" s="140">
        <v>0.5</v>
      </c>
      <c r="R32" s="140"/>
      <c r="S32" s="140">
        <v>0.02</v>
      </c>
      <c r="T32" s="140"/>
      <c r="U32" s="111"/>
      <c r="V32" s="111"/>
      <c r="W32" s="109"/>
      <c r="X32" s="109"/>
      <c r="Y32" s="109"/>
      <c r="Z32" s="112"/>
      <c r="AA32" s="110"/>
      <c r="AB32" s="110"/>
    </row>
    <row r="33" spans="1:28" ht="16.5" customHeight="1">
      <c r="A33" s="140" t="s">
        <v>98</v>
      </c>
      <c r="B33" s="140">
        <v>20</v>
      </c>
      <c r="C33" s="140">
        <v>68</v>
      </c>
      <c r="D33" s="140">
        <v>70</v>
      </c>
      <c r="E33" s="140">
        <v>41</v>
      </c>
      <c r="F33" s="140">
        <v>69</v>
      </c>
      <c r="G33" s="140">
        <v>6</v>
      </c>
      <c r="H33" s="140">
        <v>10</v>
      </c>
      <c r="I33" s="140">
        <v>17</v>
      </c>
      <c r="J33" s="140">
        <v>34</v>
      </c>
      <c r="K33" s="140">
        <v>40</v>
      </c>
      <c r="L33" s="140">
        <v>34</v>
      </c>
      <c r="M33" s="140">
        <v>5.6</v>
      </c>
      <c r="N33" s="140">
        <v>4</v>
      </c>
      <c r="O33" s="141">
        <v>0.14</v>
      </c>
      <c r="P33" s="141">
        <v>0.14</v>
      </c>
      <c r="Q33" s="140">
        <v>0.6</v>
      </c>
      <c r="R33" s="140"/>
      <c r="S33" s="140">
        <v>0.06</v>
      </c>
      <c r="T33" s="140">
        <v>11</v>
      </c>
      <c r="U33" s="111"/>
      <c r="V33" s="111"/>
      <c r="W33" s="109"/>
      <c r="X33" s="109"/>
      <c r="Y33" s="109"/>
      <c r="Z33" s="112"/>
      <c r="AA33" s="110"/>
      <c r="AB33" s="110"/>
    </row>
    <row r="34" spans="1:28" ht="16.5" customHeight="1">
      <c r="A34" s="140" t="s">
        <v>488</v>
      </c>
      <c r="B34" s="140">
        <v>27</v>
      </c>
      <c r="C34" s="140">
        <v>61</v>
      </c>
      <c r="D34" s="140">
        <v>62</v>
      </c>
      <c r="E34" s="140">
        <v>31</v>
      </c>
      <c r="F34" s="140">
        <v>61</v>
      </c>
      <c r="G34" s="140">
        <v>6</v>
      </c>
      <c r="H34" s="140"/>
      <c r="I34" s="140">
        <v>18</v>
      </c>
      <c r="J34" s="140">
        <v>30</v>
      </c>
      <c r="K34" s="140">
        <v>41</v>
      </c>
      <c r="L34" s="140">
        <v>40</v>
      </c>
      <c r="M34" s="140">
        <v>1.1</v>
      </c>
      <c r="N34" s="140">
        <v>10</v>
      </c>
      <c r="O34" s="141">
        <v>1.62</v>
      </c>
      <c r="P34" s="141">
        <v>0.11</v>
      </c>
      <c r="Q34" s="140">
        <v>1.4</v>
      </c>
      <c r="R34" s="140"/>
      <c r="S34" s="140"/>
      <c r="T34" s="140"/>
      <c r="U34" s="111"/>
      <c r="V34" s="111"/>
      <c r="W34" s="109"/>
      <c r="X34" s="109"/>
      <c r="Y34" s="109"/>
      <c r="Z34" s="112"/>
      <c r="AA34" s="110"/>
      <c r="AB34" s="110"/>
    </row>
    <row r="35" spans="1:28" ht="16.5" customHeight="1">
      <c r="A35" s="140" t="s">
        <v>489</v>
      </c>
      <c r="B35" s="140">
        <v>91</v>
      </c>
      <c r="C35" s="140">
        <v>52</v>
      </c>
      <c r="D35" s="140">
        <v>52</v>
      </c>
      <c r="E35" s="140">
        <v>16</v>
      </c>
      <c r="F35" s="140">
        <v>51</v>
      </c>
      <c r="G35" s="140">
        <v>20</v>
      </c>
      <c r="H35" s="140"/>
      <c r="I35" s="140">
        <v>19</v>
      </c>
      <c r="J35" s="140">
        <v>24</v>
      </c>
      <c r="K35" s="140"/>
      <c r="L35" s="140"/>
      <c r="M35" s="140">
        <v>1.2</v>
      </c>
      <c r="N35" s="140">
        <v>16</v>
      </c>
      <c r="O35" s="141"/>
      <c r="P35" s="141"/>
      <c r="Q35" s="140"/>
      <c r="R35" s="140"/>
      <c r="S35" s="140"/>
      <c r="T35" s="140"/>
      <c r="U35" s="111"/>
      <c r="V35" s="111"/>
      <c r="W35" s="109"/>
      <c r="X35" s="109"/>
      <c r="Y35" s="109"/>
      <c r="Z35" s="112"/>
      <c r="AA35" s="110"/>
      <c r="AB35" s="110"/>
    </row>
    <row r="36" spans="1:28" ht="16.5" customHeight="1">
      <c r="A36" s="140" t="s">
        <v>490</v>
      </c>
      <c r="B36" s="140">
        <v>90</v>
      </c>
      <c r="C36" s="140">
        <v>51</v>
      </c>
      <c r="D36" s="140">
        <v>51</v>
      </c>
      <c r="E36" s="140">
        <v>14</v>
      </c>
      <c r="F36" s="140">
        <v>50</v>
      </c>
      <c r="G36" s="140">
        <v>8</v>
      </c>
      <c r="H36" s="140">
        <v>37</v>
      </c>
      <c r="I36" s="140">
        <v>32</v>
      </c>
      <c r="J36" s="140">
        <v>41</v>
      </c>
      <c r="K36" s="140">
        <v>72</v>
      </c>
      <c r="L36" s="140">
        <v>98</v>
      </c>
      <c r="M36" s="140">
        <v>1.9</v>
      </c>
      <c r="N36" s="140">
        <v>8</v>
      </c>
      <c r="O36" s="141">
        <v>0.48</v>
      </c>
      <c r="P36" s="141">
        <v>0.2</v>
      </c>
      <c r="Q36" s="140">
        <v>1.4</v>
      </c>
      <c r="R36" s="140"/>
      <c r="S36" s="140">
        <v>0.21</v>
      </c>
      <c r="T36" s="140"/>
      <c r="U36" s="111"/>
      <c r="V36" s="111"/>
      <c r="W36" s="109"/>
      <c r="X36" s="109"/>
      <c r="Y36" s="109"/>
      <c r="Z36" s="112"/>
      <c r="AA36" s="110"/>
      <c r="AB36" s="110"/>
    </row>
    <row r="37" spans="1:28" ht="16.5" customHeight="1">
      <c r="A37" s="140" t="s">
        <v>99</v>
      </c>
      <c r="B37" s="140">
        <v>90</v>
      </c>
      <c r="C37" s="140">
        <v>90</v>
      </c>
      <c r="D37" s="140">
        <v>100</v>
      </c>
      <c r="E37" s="140">
        <v>68</v>
      </c>
      <c r="F37" s="140">
        <v>94</v>
      </c>
      <c r="G37" s="140">
        <v>12</v>
      </c>
      <c r="H37" s="140">
        <v>30</v>
      </c>
      <c r="I37" s="140">
        <v>4</v>
      </c>
      <c r="J37" s="140">
        <v>6</v>
      </c>
      <c r="K37" s="140">
        <v>14</v>
      </c>
      <c r="L37" s="140">
        <v>0</v>
      </c>
      <c r="M37" s="140">
        <v>11</v>
      </c>
      <c r="N37" s="140">
        <v>4</v>
      </c>
      <c r="O37" s="141">
        <v>0.18</v>
      </c>
      <c r="P37" s="141">
        <v>0.28</v>
      </c>
      <c r="Q37" s="140">
        <v>0.3</v>
      </c>
      <c r="R37" s="140">
        <v>2.25</v>
      </c>
      <c r="S37" s="140">
        <v>0.15</v>
      </c>
      <c r="T37" s="140">
        <v>33</v>
      </c>
      <c r="U37" s="111"/>
      <c r="V37" s="111"/>
      <c r="W37" s="109"/>
      <c r="X37" s="109"/>
      <c r="Y37" s="109"/>
      <c r="Z37" s="112"/>
      <c r="AA37" s="110"/>
      <c r="AB37" s="110"/>
    </row>
    <row r="38" spans="1:28" ht="16.5" customHeight="1">
      <c r="A38" s="140" t="s">
        <v>100</v>
      </c>
      <c r="B38" s="140">
        <v>90</v>
      </c>
      <c r="C38" s="140">
        <v>73</v>
      </c>
      <c r="D38" s="140">
        <v>77</v>
      </c>
      <c r="E38" s="140">
        <v>48</v>
      </c>
      <c r="F38" s="140">
        <v>75</v>
      </c>
      <c r="G38" s="140">
        <v>15</v>
      </c>
      <c r="H38" s="140"/>
      <c r="I38" s="140">
        <v>12</v>
      </c>
      <c r="J38" s="140">
        <v>15</v>
      </c>
      <c r="K38" s="140"/>
      <c r="L38" s="140"/>
      <c r="M38" s="140">
        <v>3.9</v>
      </c>
      <c r="N38" s="140">
        <v>5</v>
      </c>
      <c r="O38" s="141">
        <v>0.05</v>
      </c>
      <c r="P38" s="141">
        <v>0.45</v>
      </c>
      <c r="Q38" s="140">
        <v>0.7</v>
      </c>
      <c r="R38" s="140"/>
      <c r="S38" s="140">
        <v>0.06</v>
      </c>
      <c r="T38" s="140"/>
      <c r="U38" s="111"/>
      <c r="V38" s="111"/>
      <c r="W38" s="109"/>
      <c r="X38" s="109"/>
      <c r="Y38" s="109"/>
      <c r="Z38" s="112"/>
      <c r="AA38" s="110"/>
      <c r="AB38" s="110"/>
    </row>
    <row r="39" spans="1:28" ht="16.5" customHeight="1">
      <c r="A39" s="140" t="s">
        <v>491</v>
      </c>
      <c r="B39" s="140">
        <v>89</v>
      </c>
      <c r="C39" s="140">
        <v>84</v>
      </c>
      <c r="D39" s="140">
        <v>92</v>
      </c>
      <c r="E39" s="140">
        <v>61</v>
      </c>
      <c r="F39" s="140">
        <v>87</v>
      </c>
      <c r="G39" s="140">
        <v>12</v>
      </c>
      <c r="H39" s="140">
        <v>28</v>
      </c>
      <c r="I39" s="140">
        <v>5</v>
      </c>
      <c r="J39" s="140">
        <v>7</v>
      </c>
      <c r="K39" s="140">
        <v>20</v>
      </c>
      <c r="L39" s="140">
        <v>34</v>
      </c>
      <c r="M39" s="140">
        <v>2.1</v>
      </c>
      <c r="N39" s="140">
        <v>3</v>
      </c>
      <c r="O39" s="141">
        <v>0.06</v>
      </c>
      <c r="P39" s="141">
        <v>0.38</v>
      </c>
      <c r="Q39" s="140">
        <v>0.6</v>
      </c>
      <c r="R39" s="140">
        <v>0.18</v>
      </c>
      <c r="S39" s="140">
        <v>0.16</v>
      </c>
      <c r="T39" s="140">
        <v>23</v>
      </c>
      <c r="U39" s="111"/>
      <c r="V39" s="111"/>
      <c r="W39" s="109"/>
      <c r="X39" s="109"/>
      <c r="Y39" s="109"/>
      <c r="Z39" s="112"/>
      <c r="AA39" s="110"/>
      <c r="AB39" s="110"/>
    </row>
    <row r="40" spans="1:28" ht="16.5" customHeight="1">
      <c r="A40" s="140" t="s">
        <v>101</v>
      </c>
      <c r="B40" s="140">
        <v>87</v>
      </c>
      <c r="C40" s="140">
        <v>84</v>
      </c>
      <c r="D40" s="140">
        <v>92</v>
      </c>
      <c r="E40" s="140">
        <v>61</v>
      </c>
      <c r="F40" s="140">
        <v>87</v>
      </c>
      <c r="G40" s="140">
        <v>12</v>
      </c>
      <c r="H40" s="140"/>
      <c r="I40" s="140">
        <v>6</v>
      </c>
      <c r="J40" s="140">
        <v>8</v>
      </c>
      <c r="K40" s="140">
        <v>24</v>
      </c>
      <c r="L40" s="140">
        <v>34</v>
      </c>
      <c r="M40" s="140">
        <v>2.3</v>
      </c>
      <c r="N40" s="140">
        <v>2</v>
      </c>
      <c r="O40" s="141">
        <v>0.05</v>
      </c>
      <c r="P40" s="141">
        <v>0.31</v>
      </c>
      <c r="Q40" s="140">
        <v>0.6</v>
      </c>
      <c r="R40" s="140">
        <v>0.18</v>
      </c>
      <c r="S40" s="140">
        <v>0.17</v>
      </c>
      <c r="T40" s="140"/>
      <c r="U40" s="111"/>
      <c r="V40" s="111"/>
      <c r="W40" s="109"/>
      <c r="X40" s="109"/>
      <c r="Y40" s="109"/>
      <c r="Z40" s="112"/>
      <c r="AA40" s="110"/>
      <c r="AB40" s="110"/>
    </row>
    <row r="41" spans="1:28" ht="16.5" customHeight="1">
      <c r="A41" s="140" t="s">
        <v>102</v>
      </c>
      <c r="B41" s="140">
        <v>87</v>
      </c>
      <c r="C41" s="140">
        <v>84</v>
      </c>
      <c r="D41" s="140">
        <v>92</v>
      </c>
      <c r="E41" s="140">
        <v>61</v>
      </c>
      <c r="F41" s="140">
        <v>87</v>
      </c>
      <c r="G41" s="140">
        <v>11</v>
      </c>
      <c r="H41" s="140"/>
      <c r="I41" s="140">
        <v>6</v>
      </c>
      <c r="J41" s="140">
        <v>8</v>
      </c>
      <c r="K41" s="140">
        <v>24</v>
      </c>
      <c r="L41" s="140">
        <v>34</v>
      </c>
      <c r="M41" s="140">
        <v>2.2</v>
      </c>
      <c r="N41" s="140">
        <v>3</v>
      </c>
      <c r="O41" s="141">
        <v>0.05</v>
      </c>
      <c r="P41" s="141">
        <v>0.36</v>
      </c>
      <c r="Q41" s="140">
        <v>0.6</v>
      </c>
      <c r="R41" s="140">
        <v>0.18</v>
      </c>
      <c r="S41" s="140">
        <v>0.15</v>
      </c>
      <c r="T41" s="140"/>
      <c r="U41" s="111"/>
      <c r="V41" s="111"/>
      <c r="W41" s="109"/>
      <c r="X41" s="109"/>
      <c r="Y41" s="109"/>
      <c r="Z41" s="112"/>
      <c r="AA41" s="110"/>
      <c r="AB41" s="110"/>
    </row>
    <row r="42" spans="1:28" ht="16.5" customHeight="1">
      <c r="A42" s="140" t="s">
        <v>103</v>
      </c>
      <c r="B42" s="140">
        <v>88</v>
      </c>
      <c r="C42" s="140">
        <v>78</v>
      </c>
      <c r="D42" s="140">
        <v>83</v>
      </c>
      <c r="E42" s="140">
        <v>54</v>
      </c>
      <c r="F42" s="140">
        <v>80</v>
      </c>
      <c r="G42" s="140">
        <v>13</v>
      </c>
      <c r="H42" s="140">
        <v>30</v>
      </c>
      <c r="I42" s="140">
        <v>9</v>
      </c>
      <c r="J42" s="140">
        <v>12</v>
      </c>
      <c r="K42" s="140">
        <v>30</v>
      </c>
      <c r="L42" s="140">
        <v>34</v>
      </c>
      <c r="M42" s="140">
        <v>2.3</v>
      </c>
      <c r="N42" s="140">
        <v>4</v>
      </c>
      <c r="O42" s="141"/>
      <c r="P42" s="141"/>
      <c r="Q42" s="140"/>
      <c r="R42" s="140"/>
      <c r="S42" s="140"/>
      <c r="T42" s="140"/>
      <c r="U42" s="111"/>
      <c r="V42" s="111"/>
      <c r="W42" s="109"/>
      <c r="X42" s="109"/>
      <c r="Y42" s="109"/>
      <c r="Z42" s="112"/>
      <c r="AA42" s="110"/>
      <c r="AB42" s="110"/>
    </row>
    <row r="43" spans="1:28" ht="16.5" customHeight="1">
      <c r="A43" s="140" t="s">
        <v>492</v>
      </c>
      <c r="B43" s="140">
        <v>89</v>
      </c>
      <c r="C43" s="140">
        <v>77</v>
      </c>
      <c r="D43" s="140">
        <v>82</v>
      </c>
      <c r="E43" s="140">
        <v>53</v>
      </c>
      <c r="F43" s="140">
        <v>79</v>
      </c>
      <c r="G43" s="140">
        <v>12</v>
      </c>
      <c r="H43" s="140"/>
      <c r="I43" s="140">
        <v>9</v>
      </c>
      <c r="J43" s="140">
        <v>11</v>
      </c>
      <c r="K43" s="140"/>
      <c r="L43" s="140"/>
      <c r="M43" s="140">
        <v>2.6</v>
      </c>
      <c r="N43" s="140">
        <v>4</v>
      </c>
      <c r="O43" s="141">
        <v>0.3</v>
      </c>
      <c r="P43" s="141">
        <v>0.33</v>
      </c>
      <c r="Q43" s="140">
        <v>0.7</v>
      </c>
      <c r="R43" s="140"/>
      <c r="S43" s="140">
        <v>0.15</v>
      </c>
      <c r="T43" s="140"/>
      <c r="U43" s="111"/>
      <c r="V43" s="111"/>
      <c r="W43" s="109"/>
      <c r="X43" s="109"/>
      <c r="Y43" s="109"/>
      <c r="Z43" s="112"/>
      <c r="AA43" s="110"/>
      <c r="AB43" s="110"/>
    </row>
    <row r="44" spans="1:28" ht="16.5" customHeight="1">
      <c r="A44" s="140" t="s">
        <v>104</v>
      </c>
      <c r="B44" s="140">
        <v>86</v>
      </c>
      <c r="C44" s="140">
        <v>84</v>
      </c>
      <c r="D44" s="140">
        <v>92</v>
      </c>
      <c r="E44" s="140">
        <v>61</v>
      </c>
      <c r="F44" s="140">
        <v>87</v>
      </c>
      <c r="G44" s="140">
        <v>12</v>
      </c>
      <c r="H44" s="140">
        <v>38</v>
      </c>
      <c r="I44" s="140">
        <v>5</v>
      </c>
      <c r="J44" s="140">
        <v>7</v>
      </c>
      <c r="K44" s="140">
        <v>20</v>
      </c>
      <c r="L44" s="140">
        <v>27</v>
      </c>
      <c r="M44" s="140">
        <v>2.1</v>
      </c>
      <c r="N44" s="140">
        <v>3</v>
      </c>
      <c r="O44" s="141">
        <v>0.06</v>
      </c>
      <c r="P44" s="141">
        <v>0.41</v>
      </c>
      <c r="Q44" s="140">
        <v>0.6</v>
      </c>
      <c r="R44" s="140">
        <v>0.18</v>
      </c>
      <c r="S44" s="140">
        <v>0.17</v>
      </c>
      <c r="T44" s="140">
        <v>30</v>
      </c>
      <c r="U44" s="111"/>
      <c r="V44" s="111"/>
      <c r="W44" s="109"/>
      <c r="X44" s="109"/>
      <c r="Y44" s="109"/>
      <c r="Z44" s="112"/>
      <c r="AA44" s="110"/>
      <c r="AB44" s="110"/>
    </row>
    <row r="45" spans="1:28" ht="16.5" customHeight="1">
      <c r="A45" s="140" t="s">
        <v>493</v>
      </c>
      <c r="B45" s="140">
        <v>85</v>
      </c>
      <c r="C45" s="140">
        <v>90</v>
      </c>
      <c r="D45" s="140">
        <v>100</v>
      </c>
      <c r="E45" s="140">
        <v>70</v>
      </c>
      <c r="F45" s="140">
        <v>100</v>
      </c>
      <c r="G45" s="140">
        <v>12</v>
      </c>
      <c r="H45" s="140">
        <v>39</v>
      </c>
      <c r="I45" s="140">
        <v>5</v>
      </c>
      <c r="J45" s="140">
        <v>7</v>
      </c>
      <c r="K45" s="140">
        <v>20</v>
      </c>
      <c r="L45" s="140">
        <v>30</v>
      </c>
      <c r="M45" s="140">
        <v>2.1</v>
      </c>
      <c r="N45" s="140">
        <v>3</v>
      </c>
      <c r="O45" s="141">
        <v>0.06</v>
      </c>
      <c r="P45" s="141">
        <v>0.35</v>
      </c>
      <c r="Q45" s="140">
        <v>0.6</v>
      </c>
      <c r="R45" s="140">
        <v>0.18</v>
      </c>
      <c r="S45" s="140">
        <v>0.16</v>
      </c>
      <c r="T45" s="140">
        <v>23</v>
      </c>
      <c r="U45" s="111"/>
      <c r="V45" s="111"/>
      <c r="W45" s="109"/>
      <c r="X45" s="109"/>
      <c r="Y45" s="109"/>
      <c r="Z45" s="112"/>
      <c r="AA45" s="110"/>
      <c r="AB45" s="110"/>
    </row>
    <row r="46" spans="1:28" ht="16.5" customHeight="1">
      <c r="A46" s="140" t="s">
        <v>494</v>
      </c>
      <c r="B46" s="140">
        <v>90</v>
      </c>
      <c r="C46" s="140">
        <v>57</v>
      </c>
      <c r="D46" s="140">
        <v>57</v>
      </c>
      <c r="E46" s="140">
        <v>25</v>
      </c>
      <c r="F46" s="140">
        <v>57</v>
      </c>
      <c r="G46" s="140">
        <v>9</v>
      </c>
      <c r="H46" s="140"/>
      <c r="I46" s="140">
        <v>28</v>
      </c>
      <c r="J46" s="140">
        <v>37</v>
      </c>
      <c r="K46" s="140">
        <v>65</v>
      </c>
      <c r="L46" s="140">
        <v>98</v>
      </c>
      <c r="M46" s="140">
        <v>2.1</v>
      </c>
      <c r="N46" s="140">
        <v>8</v>
      </c>
      <c r="O46" s="141">
        <v>0.3</v>
      </c>
      <c r="P46" s="141">
        <v>0.28</v>
      </c>
      <c r="Q46" s="140">
        <v>1.6</v>
      </c>
      <c r="R46" s="140"/>
      <c r="S46" s="140">
        <v>0.19</v>
      </c>
      <c r="T46" s="140">
        <v>25</v>
      </c>
      <c r="U46" s="111"/>
      <c r="V46" s="111"/>
      <c r="W46" s="109"/>
      <c r="X46" s="109"/>
      <c r="Y46" s="109"/>
      <c r="Z46" s="112"/>
      <c r="AA46" s="110"/>
      <c r="AB46" s="110"/>
    </row>
    <row r="47" spans="1:28" ht="16.5" customHeight="1">
      <c r="A47" s="140" t="s">
        <v>495</v>
      </c>
      <c r="B47" s="140">
        <v>35</v>
      </c>
      <c r="C47" s="140">
        <v>59</v>
      </c>
      <c r="D47" s="140">
        <v>58</v>
      </c>
      <c r="E47" s="140">
        <v>26</v>
      </c>
      <c r="F47" s="140">
        <v>58</v>
      </c>
      <c r="G47" s="140">
        <v>12</v>
      </c>
      <c r="H47" s="140">
        <v>22</v>
      </c>
      <c r="I47" s="140">
        <v>34</v>
      </c>
      <c r="J47" s="140">
        <v>37</v>
      </c>
      <c r="K47" s="140">
        <v>58</v>
      </c>
      <c r="L47" s="140">
        <v>61</v>
      </c>
      <c r="M47" s="140">
        <v>3</v>
      </c>
      <c r="N47" s="140">
        <v>9</v>
      </c>
      <c r="O47" s="141">
        <v>0.46</v>
      </c>
      <c r="P47" s="141">
        <v>0.3</v>
      </c>
      <c r="Q47" s="140">
        <v>2.4</v>
      </c>
      <c r="R47" s="140"/>
      <c r="S47" s="140">
        <v>0.22</v>
      </c>
      <c r="T47" s="140">
        <v>28</v>
      </c>
      <c r="U47" s="111"/>
      <c r="V47" s="111"/>
      <c r="W47" s="109"/>
      <c r="X47" s="109"/>
      <c r="Y47" s="109"/>
      <c r="Z47" s="112"/>
      <c r="AA47" s="110"/>
      <c r="AB47" s="110"/>
    </row>
    <row r="48" spans="1:28" ht="16.5" customHeight="1">
      <c r="A48" s="140" t="s">
        <v>105</v>
      </c>
      <c r="B48" s="140">
        <v>35</v>
      </c>
      <c r="C48" s="140">
        <v>58</v>
      </c>
      <c r="D48" s="140">
        <v>58</v>
      </c>
      <c r="E48" s="140">
        <v>26</v>
      </c>
      <c r="F48" s="140">
        <v>58</v>
      </c>
      <c r="G48" s="140">
        <v>12</v>
      </c>
      <c r="H48" s="140">
        <v>25</v>
      </c>
      <c r="I48" s="140">
        <v>30</v>
      </c>
      <c r="J48" s="140">
        <v>34</v>
      </c>
      <c r="K48" s="140">
        <v>50</v>
      </c>
      <c r="L48" s="140">
        <v>61</v>
      </c>
      <c r="M48" s="140">
        <v>3.5</v>
      </c>
      <c r="N48" s="140">
        <v>9</v>
      </c>
      <c r="O48" s="141">
        <v>0.3</v>
      </c>
      <c r="P48" s="141">
        <v>0.2</v>
      </c>
      <c r="Q48" s="140">
        <v>1.5</v>
      </c>
      <c r="R48" s="140"/>
      <c r="S48" s="140">
        <v>0.15</v>
      </c>
      <c r="T48" s="140">
        <v>25</v>
      </c>
      <c r="U48" s="111"/>
      <c r="V48" s="111"/>
      <c r="W48" s="109"/>
      <c r="X48" s="109"/>
      <c r="Y48" s="109"/>
      <c r="Z48" s="112"/>
      <c r="AA48" s="110"/>
      <c r="AB48" s="110"/>
    </row>
    <row r="49" spans="1:28" ht="16.5" customHeight="1">
      <c r="A49" s="140" t="s">
        <v>496</v>
      </c>
      <c r="B49" s="140">
        <v>90</v>
      </c>
      <c r="C49" s="140">
        <v>43</v>
      </c>
      <c r="D49" s="140">
        <v>44</v>
      </c>
      <c r="E49" s="140">
        <v>0</v>
      </c>
      <c r="F49" s="140">
        <v>42</v>
      </c>
      <c r="G49" s="140">
        <v>4</v>
      </c>
      <c r="H49" s="140">
        <v>70</v>
      </c>
      <c r="I49" s="140">
        <v>42</v>
      </c>
      <c r="J49" s="140">
        <v>52</v>
      </c>
      <c r="K49" s="140">
        <v>78</v>
      </c>
      <c r="L49" s="140">
        <v>100</v>
      </c>
      <c r="M49" s="140">
        <v>1.9</v>
      </c>
      <c r="N49" s="140">
        <v>7</v>
      </c>
      <c r="O49" s="141">
        <v>0.33</v>
      </c>
      <c r="P49" s="141">
        <v>0.08</v>
      </c>
      <c r="Q49" s="140">
        <v>2.1</v>
      </c>
      <c r="R49" s="140">
        <v>0.67</v>
      </c>
      <c r="S49" s="140">
        <v>0.16</v>
      </c>
      <c r="T49" s="140">
        <v>7</v>
      </c>
      <c r="U49" s="111"/>
      <c r="V49" s="111"/>
      <c r="W49" s="109"/>
      <c r="X49" s="109"/>
      <c r="Y49" s="109"/>
      <c r="Z49" s="112"/>
      <c r="AA49" s="110"/>
      <c r="AB49" s="110"/>
    </row>
    <row r="50" spans="1:28" ht="16.5" customHeight="1">
      <c r="A50" s="140" t="s">
        <v>497</v>
      </c>
      <c r="B50" s="140">
        <v>90</v>
      </c>
      <c r="C50" s="140">
        <v>84</v>
      </c>
      <c r="D50" s="140">
        <v>92</v>
      </c>
      <c r="E50" s="140">
        <v>61</v>
      </c>
      <c r="F50" s="140">
        <v>87</v>
      </c>
      <c r="G50" s="140">
        <v>24</v>
      </c>
      <c r="H50" s="140">
        <v>25</v>
      </c>
      <c r="I50" s="140">
        <v>5</v>
      </c>
      <c r="J50" s="140">
        <v>8</v>
      </c>
      <c r="K50" s="140">
        <v>20</v>
      </c>
      <c r="L50" s="140">
        <v>0</v>
      </c>
      <c r="M50" s="140">
        <v>1.4</v>
      </c>
      <c r="N50" s="140">
        <v>5</v>
      </c>
      <c r="O50" s="141">
        <v>0.15</v>
      </c>
      <c r="P50" s="141">
        <v>0.59</v>
      </c>
      <c r="Q50" s="140">
        <v>1.4</v>
      </c>
      <c r="R50" s="140">
        <v>0.06</v>
      </c>
      <c r="S50" s="140">
        <v>0.26</v>
      </c>
      <c r="T50" s="140">
        <v>45</v>
      </c>
      <c r="U50" s="111"/>
      <c r="V50" s="111"/>
      <c r="W50" s="109"/>
      <c r="X50" s="109"/>
      <c r="Y50" s="109"/>
      <c r="Z50" s="112"/>
      <c r="AA50" s="110"/>
      <c r="AB50" s="110"/>
    </row>
    <row r="51" spans="1:28" ht="16.5" customHeight="1">
      <c r="A51" s="140" t="s">
        <v>106</v>
      </c>
      <c r="B51" s="140">
        <v>91</v>
      </c>
      <c r="C51" s="140">
        <v>75</v>
      </c>
      <c r="D51" s="140">
        <v>79</v>
      </c>
      <c r="E51" s="140">
        <v>50</v>
      </c>
      <c r="F51" s="140">
        <v>77</v>
      </c>
      <c r="G51" s="140">
        <v>11</v>
      </c>
      <c r="H51" s="140">
        <v>44</v>
      </c>
      <c r="I51" s="140">
        <v>21</v>
      </c>
      <c r="J51" s="140">
        <v>21</v>
      </c>
      <c r="K51" s="140">
        <v>41</v>
      </c>
      <c r="L51" s="140">
        <v>33</v>
      </c>
      <c r="M51" s="140">
        <v>0.7</v>
      </c>
      <c r="N51" s="140">
        <v>6</v>
      </c>
      <c r="O51" s="141">
        <v>0.65</v>
      </c>
      <c r="P51" s="141">
        <v>0.08</v>
      </c>
      <c r="Q51" s="140">
        <v>1.4</v>
      </c>
      <c r="R51" s="140">
        <v>0.4</v>
      </c>
      <c r="S51" s="140">
        <v>0.22</v>
      </c>
      <c r="T51" s="140">
        <v>22</v>
      </c>
      <c r="U51" s="111"/>
      <c r="V51" s="111"/>
      <c r="W51" s="109"/>
      <c r="X51" s="109"/>
      <c r="Y51" s="109"/>
      <c r="Z51" s="112"/>
      <c r="AA51" s="110"/>
      <c r="AB51" s="110"/>
    </row>
    <row r="52" spans="1:28" ht="16.5" customHeight="1">
      <c r="A52" s="140" t="s">
        <v>107</v>
      </c>
      <c r="B52" s="140">
        <v>92</v>
      </c>
      <c r="C52" s="140">
        <v>76</v>
      </c>
      <c r="D52" s="140">
        <v>81</v>
      </c>
      <c r="E52" s="140">
        <v>52</v>
      </c>
      <c r="F52" s="140">
        <v>78</v>
      </c>
      <c r="G52" s="140">
        <v>11</v>
      </c>
      <c r="H52" s="140">
        <v>34</v>
      </c>
      <c r="I52" s="140">
        <v>17</v>
      </c>
      <c r="J52" s="140">
        <v>22</v>
      </c>
      <c r="K52" s="140">
        <v>40</v>
      </c>
      <c r="L52" s="140">
        <v>33</v>
      </c>
      <c r="M52" s="140">
        <v>0.6</v>
      </c>
      <c r="N52" s="140">
        <v>6</v>
      </c>
      <c r="O52" s="141">
        <v>0.6</v>
      </c>
      <c r="P52" s="141">
        <v>0.1</v>
      </c>
      <c r="Q52" s="140">
        <v>1.8</v>
      </c>
      <c r="R52" s="140"/>
      <c r="S52" s="140">
        <v>0.42</v>
      </c>
      <c r="T52" s="140">
        <v>11</v>
      </c>
      <c r="U52" s="111"/>
      <c r="V52" s="111"/>
      <c r="W52" s="109"/>
      <c r="X52" s="109"/>
      <c r="Y52" s="109"/>
      <c r="Z52" s="112"/>
      <c r="AA52" s="110"/>
      <c r="AB52" s="110"/>
    </row>
    <row r="53" spans="1:28" ht="16.5" customHeight="1">
      <c r="A53" s="140" t="s">
        <v>108</v>
      </c>
      <c r="B53" s="140">
        <v>17</v>
      </c>
      <c r="C53" s="140">
        <v>76</v>
      </c>
      <c r="D53" s="140">
        <v>81</v>
      </c>
      <c r="E53" s="140">
        <v>52</v>
      </c>
      <c r="F53" s="140">
        <v>78</v>
      </c>
      <c r="G53" s="140">
        <v>11</v>
      </c>
      <c r="H53" s="140">
        <v>35</v>
      </c>
      <c r="I53" s="140">
        <v>20</v>
      </c>
      <c r="J53" s="140">
        <v>23</v>
      </c>
      <c r="K53" s="140">
        <v>48</v>
      </c>
      <c r="L53" s="140">
        <v>33</v>
      </c>
      <c r="M53" s="140">
        <v>0.7</v>
      </c>
      <c r="N53" s="140">
        <v>6</v>
      </c>
      <c r="O53" s="141">
        <v>0.68</v>
      </c>
      <c r="P53" s="141">
        <v>0.08</v>
      </c>
      <c r="Q53" s="140">
        <v>1.4</v>
      </c>
      <c r="R53" s="140">
        <v>0.4</v>
      </c>
      <c r="S53" s="140">
        <v>0.21</v>
      </c>
      <c r="T53" s="140">
        <v>20</v>
      </c>
      <c r="U53" s="111"/>
      <c r="V53" s="111"/>
      <c r="W53" s="109"/>
      <c r="X53" s="109"/>
      <c r="Y53" s="109"/>
      <c r="Z53" s="112"/>
      <c r="AA53" s="110"/>
      <c r="AB53" s="110"/>
    </row>
    <row r="54" spans="1:28" ht="16.5" customHeight="1">
      <c r="A54" s="140" t="s">
        <v>109</v>
      </c>
      <c r="B54" s="140">
        <v>24</v>
      </c>
      <c r="C54" s="140">
        <v>77</v>
      </c>
      <c r="D54" s="140">
        <v>82</v>
      </c>
      <c r="E54" s="140">
        <v>53</v>
      </c>
      <c r="F54" s="140">
        <v>79</v>
      </c>
      <c r="G54" s="140">
        <v>11</v>
      </c>
      <c r="H54" s="140">
        <v>25</v>
      </c>
      <c r="I54" s="140">
        <v>16</v>
      </c>
      <c r="J54" s="140">
        <v>21</v>
      </c>
      <c r="K54" s="140">
        <v>39</v>
      </c>
      <c r="L54" s="140">
        <v>33</v>
      </c>
      <c r="M54" s="140">
        <v>0.6</v>
      </c>
      <c r="N54" s="140">
        <v>6</v>
      </c>
      <c r="O54" s="141">
        <v>0.6</v>
      </c>
      <c r="P54" s="141">
        <v>0.1</v>
      </c>
      <c r="Q54" s="140">
        <v>1.8</v>
      </c>
      <c r="R54" s="140"/>
      <c r="S54" s="140">
        <v>0.42</v>
      </c>
      <c r="T54" s="140">
        <v>11</v>
      </c>
      <c r="U54" s="111"/>
      <c r="V54" s="111"/>
      <c r="W54" s="109"/>
      <c r="X54" s="109"/>
      <c r="Y54" s="109"/>
      <c r="Z54" s="112"/>
      <c r="AA54" s="110"/>
      <c r="AB54" s="110"/>
    </row>
    <row r="55" spans="1:28" ht="16.5" customHeight="1">
      <c r="A55" s="140" t="s">
        <v>110</v>
      </c>
      <c r="B55" s="140">
        <v>25</v>
      </c>
      <c r="C55" s="140">
        <v>52</v>
      </c>
      <c r="D55" s="140">
        <v>52</v>
      </c>
      <c r="E55" s="140">
        <v>16</v>
      </c>
      <c r="F55" s="140">
        <v>51</v>
      </c>
      <c r="G55" s="140">
        <v>12</v>
      </c>
      <c r="H55" s="140"/>
      <c r="I55" s="140">
        <v>12</v>
      </c>
      <c r="J55" s="140"/>
      <c r="K55" s="140"/>
      <c r="L55" s="140"/>
      <c r="M55" s="140">
        <v>2</v>
      </c>
      <c r="N55" s="140">
        <v>32</v>
      </c>
      <c r="O55" s="141">
        <v>1.38</v>
      </c>
      <c r="P55" s="141">
        <v>0.22</v>
      </c>
      <c r="Q55" s="140">
        <v>5.7</v>
      </c>
      <c r="R55" s="140"/>
      <c r="S55" s="140">
        <v>0.57</v>
      </c>
      <c r="T55" s="140">
        <v>20</v>
      </c>
      <c r="U55" s="111"/>
      <c r="V55" s="111"/>
      <c r="W55" s="109"/>
      <c r="X55" s="109"/>
      <c r="Y55" s="109"/>
      <c r="Z55" s="112"/>
      <c r="AA55" s="110"/>
      <c r="AB55" s="110"/>
    </row>
    <row r="56" spans="1:28" ht="16.5" customHeight="1">
      <c r="A56" s="140" t="s">
        <v>111</v>
      </c>
      <c r="B56" s="140">
        <v>20</v>
      </c>
      <c r="C56" s="140">
        <v>58</v>
      </c>
      <c r="D56" s="140">
        <v>58</v>
      </c>
      <c r="E56" s="140">
        <v>26</v>
      </c>
      <c r="F56" s="140">
        <v>58</v>
      </c>
      <c r="G56" s="140">
        <v>14</v>
      </c>
      <c r="H56" s="140"/>
      <c r="I56" s="140">
        <v>10</v>
      </c>
      <c r="J56" s="140">
        <v>14</v>
      </c>
      <c r="K56" s="140">
        <v>25</v>
      </c>
      <c r="L56" s="140">
        <v>41</v>
      </c>
      <c r="M56" s="140">
        <v>1.5</v>
      </c>
      <c r="N56" s="140">
        <v>24</v>
      </c>
      <c r="O56" s="141">
        <v>1.2</v>
      </c>
      <c r="P56" s="141">
        <v>0.23</v>
      </c>
      <c r="Q56" s="140">
        <v>5.1</v>
      </c>
      <c r="R56" s="140">
        <v>0.2</v>
      </c>
      <c r="S56" s="140">
        <v>0.45</v>
      </c>
      <c r="T56" s="140">
        <v>20</v>
      </c>
      <c r="U56" s="111"/>
      <c r="V56" s="111"/>
      <c r="W56" s="109"/>
      <c r="X56" s="109"/>
      <c r="Y56" s="109"/>
      <c r="Z56" s="112"/>
      <c r="AA56" s="110"/>
      <c r="AB56" s="110"/>
    </row>
    <row r="57" spans="1:28" ht="16.5" customHeight="1">
      <c r="A57" s="140" t="s">
        <v>606</v>
      </c>
      <c r="B57" s="140">
        <v>90</v>
      </c>
      <c r="C57" s="140">
        <v>62</v>
      </c>
      <c r="D57" s="140">
        <v>63</v>
      </c>
      <c r="E57" s="140">
        <v>33</v>
      </c>
      <c r="F57" s="140">
        <v>63</v>
      </c>
      <c r="G57" s="140">
        <v>16</v>
      </c>
      <c r="H57" s="140">
        <v>40</v>
      </c>
      <c r="I57" s="140">
        <v>26</v>
      </c>
      <c r="J57" s="140">
        <v>29</v>
      </c>
      <c r="K57" s="140">
        <v>40</v>
      </c>
      <c r="L57" s="140">
        <v>10</v>
      </c>
      <c r="M57" s="140">
        <v>3.8</v>
      </c>
      <c r="N57" s="140">
        <v>7</v>
      </c>
      <c r="O57" s="141">
        <v>0.4</v>
      </c>
      <c r="P57" s="141">
        <v>0.25</v>
      </c>
      <c r="Q57" s="140">
        <v>1.8</v>
      </c>
      <c r="R57" s="140">
        <v>0.72</v>
      </c>
      <c r="S57" s="140">
        <v>0.23</v>
      </c>
      <c r="T57" s="140">
        <v>18</v>
      </c>
      <c r="U57" s="111"/>
      <c r="V57" s="111"/>
      <c r="W57" s="109"/>
      <c r="X57" s="109"/>
      <c r="Y57" s="109"/>
      <c r="Z57" s="112"/>
      <c r="AA57" s="110"/>
      <c r="AB57" s="110"/>
    </row>
    <row r="58" spans="1:28" ht="16.5" customHeight="1">
      <c r="A58" s="140" t="s">
        <v>112</v>
      </c>
      <c r="B58" s="140">
        <v>89</v>
      </c>
      <c r="C58" s="140">
        <v>56</v>
      </c>
      <c r="D58" s="140">
        <v>56</v>
      </c>
      <c r="E58" s="140">
        <v>23</v>
      </c>
      <c r="F58" s="140">
        <v>56</v>
      </c>
      <c r="G58" s="140">
        <v>10</v>
      </c>
      <c r="H58" s="140">
        <v>20</v>
      </c>
      <c r="I58" s="140">
        <v>30</v>
      </c>
      <c r="J58" s="140">
        <v>36</v>
      </c>
      <c r="K58" s="140">
        <v>73</v>
      </c>
      <c r="L58" s="140">
        <v>98</v>
      </c>
      <c r="M58" s="140">
        <v>2.1</v>
      </c>
      <c r="N58" s="140">
        <v>6</v>
      </c>
      <c r="O58" s="141">
        <v>0.47</v>
      </c>
      <c r="P58" s="141">
        <v>0.21</v>
      </c>
      <c r="Q58" s="140">
        <v>1.5</v>
      </c>
      <c r="R58" s="140">
        <v>0.7</v>
      </c>
      <c r="S58" s="140">
        <v>0.22</v>
      </c>
      <c r="T58" s="140">
        <v>16</v>
      </c>
      <c r="U58" s="111"/>
      <c r="V58" s="111"/>
      <c r="W58" s="109"/>
      <c r="X58" s="109"/>
      <c r="Y58" s="109"/>
      <c r="Z58" s="112"/>
      <c r="AA58" s="110"/>
      <c r="AB58" s="110"/>
    </row>
    <row r="59" spans="1:28" ht="16.5" customHeight="1">
      <c r="A59" s="140" t="s">
        <v>113</v>
      </c>
      <c r="B59" s="140">
        <v>89</v>
      </c>
      <c r="C59" s="140">
        <v>53</v>
      </c>
      <c r="D59" s="140">
        <v>53</v>
      </c>
      <c r="E59" s="140">
        <v>18</v>
      </c>
      <c r="F59" s="140">
        <v>53</v>
      </c>
      <c r="G59" s="140">
        <v>10</v>
      </c>
      <c r="H59" s="140">
        <v>18</v>
      </c>
      <c r="I59" s="140">
        <v>29</v>
      </c>
      <c r="J59" s="140">
        <v>37</v>
      </c>
      <c r="K59" s="140">
        <v>72</v>
      </c>
      <c r="L59" s="140">
        <v>98</v>
      </c>
      <c r="M59" s="140">
        <v>1.9</v>
      </c>
      <c r="N59" s="140">
        <v>8</v>
      </c>
      <c r="O59" s="141">
        <v>0.46</v>
      </c>
      <c r="P59" s="141">
        <v>0.2</v>
      </c>
      <c r="Q59" s="140">
        <v>1.5</v>
      </c>
      <c r="R59" s="140">
        <v>0.7</v>
      </c>
      <c r="S59" s="140">
        <v>0.25</v>
      </c>
      <c r="T59" s="140">
        <v>31</v>
      </c>
      <c r="U59" s="111"/>
      <c r="V59" s="111"/>
      <c r="W59" s="109"/>
      <c r="X59" s="109"/>
      <c r="Y59" s="109"/>
      <c r="Z59" s="112"/>
      <c r="AA59" s="110"/>
      <c r="AB59" s="110"/>
    </row>
    <row r="60" spans="1:28" ht="16.5" customHeight="1">
      <c r="A60" s="140" t="s">
        <v>114</v>
      </c>
      <c r="B60" s="140">
        <v>26</v>
      </c>
      <c r="C60" s="140">
        <v>50</v>
      </c>
      <c r="D60" s="140">
        <v>50</v>
      </c>
      <c r="E60" s="140">
        <v>12</v>
      </c>
      <c r="F60" s="140">
        <v>49</v>
      </c>
      <c r="G60" s="140">
        <v>10</v>
      </c>
      <c r="H60" s="140">
        <v>15</v>
      </c>
      <c r="I60" s="140">
        <v>28</v>
      </c>
      <c r="J60" s="140">
        <v>35</v>
      </c>
      <c r="K60" s="140">
        <v>71</v>
      </c>
      <c r="L60" s="140">
        <v>48</v>
      </c>
      <c r="M60" s="140">
        <v>1.9</v>
      </c>
      <c r="N60" s="140">
        <v>8</v>
      </c>
      <c r="O60" s="141">
        <v>0.46</v>
      </c>
      <c r="P60" s="141">
        <v>0.2</v>
      </c>
      <c r="Q60" s="140">
        <v>1.5</v>
      </c>
      <c r="R60" s="140">
        <v>0.72</v>
      </c>
      <c r="S60" s="140">
        <v>0.25</v>
      </c>
      <c r="T60" s="140">
        <v>31</v>
      </c>
      <c r="U60" s="111"/>
      <c r="V60" s="111"/>
      <c r="W60" s="109"/>
      <c r="X60" s="109"/>
      <c r="Y60" s="109"/>
      <c r="Z60" s="112"/>
      <c r="AA60" s="110"/>
      <c r="AB60" s="110"/>
    </row>
    <row r="61" spans="1:28" ht="16.5" customHeight="1">
      <c r="A61" s="140" t="s">
        <v>115</v>
      </c>
      <c r="B61" s="140">
        <v>22</v>
      </c>
      <c r="C61" s="140">
        <v>66</v>
      </c>
      <c r="D61" s="140">
        <v>68</v>
      </c>
      <c r="E61" s="140">
        <v>38</v>
      </c>
      <c r="F61" s="140">
        <v>67</v>
      </c>
      <c r="G61" s="140">
        <v>21</v>
      </c>
      <c r="H61" s="140">
        <v>20</v>
      </c>
      <c r="I61" s="140">
        <v>21</v>
      </c>
      <c r="J61" s="140">
        <v>31</v>
      </c>
      <c r="K61" s="140">
        <v>47</v>
      </c>
      <c r="L61" s="140">
        <v>41</v>
      </c>
      <c r="M61" s="140">
        <v>4.4</v>
      </c>
      <c r="N61" s="140">
        <v>9</v>
      </c>
      <c r="O61" s="141">
        <v>1.78</v>
      </c>
      <c r="P61" s="141">
        <v>0.25</v>
      </c>
      <c r="Q61" s="140">
        <v>2.6</v>
      </c>
      <c r="R61" s="140"/>
      <c r="S61" s="140">
        <v>0.25</v>
      </c>
      <c r="T61" s="140">
        <v>31</v>
      </c>
      <c r="U61" s="111"/>
      <c r="V61" s="111"/>
      <c r="W61" s="109"/>
      <c r="X61" s="109"/>
      <c r="Y61" s="109"/>
      <c r="Z61" s="112"/>
      <c r="AA61" s="110"/>
      <c r="AB61" s="110"/>
    </row>
    <row r="62" spans="1:28" ht="16.5" customHeight="1">
      <c r="A62" s="140" t="s">
        <v>116</v>
      </c>
      <c r="B62" s="140">
        <v>89</v>
      </c>
      <c r="C62" s="140">
        <v>57</v>
      </c>
      <c r="D62" s="140">
        <v>57</v>
      </c>
      <c r="E62" s="140">
        <v>25</v>
      </c>
      <c r="F62" s="140">
        <v>57</v>
      </c>
      <c r="G62" s="140">
        <v>16</v>
      </c>
      <c r="H62" s="140">
        <v>22</v>
      </c>
      <c r="I62" s="140">
        <v>31</v>
      </c>
      <c r="J62" s="140">
        <v>38</v>
      </c>
      <c r="K62" s="140">
        <v>50</v>
      </c>
      <c r="L62" s="140">
        <v>92</v>
      </c>
      <c r="M62" s="140">
        <v>2.2</v>
      </c>
      <c r="N62" s="140">
        <v>8</v>
      </c>
      <c r="O62" s="141">
        <v>1.73</v>
      </c>
      <c r="P62" s="141">
        <v>0.24</v>
      </c>
      <c r="Q62" s="140">
        <v>1.8</v>
      </c>
      <c r="R62" s="140"/>
      <c r="S62" s="140">
        <v>0.25</v>
      </c>
      <c r="T62" s="140">
        <v>28</v>
      </c>
      <c r="U62" s="111"/>
      <c r="V62" s="111"/>
      <c r="W62" s="109"/>
      <c r="X62" s="109"/>
      <c r="Y62" s="109"/>
      <c r="Z62" s="112"/>
      <c r="AA62" s="110"/>
      <c r="AB62" s="110"/>
    </row>
    <row r="63" spans="1:28" ht="16.5" customHeight="1">
      <c r="A63" s="140" t="s">
        <v>498</v>
      </c>
      <c r="B63" s="140">
        <v>99</v>
      </c>
      <c r="C63" s="140">
        <v>0</v>
      </c>
      <c r="D63" s="140">
        <v>0</v>
      </c>
      <c r="E63" s="140">
        <v>0</v>
      </c>
      <c r="F63" s="140">
        <v>0</v>
      </c>
      <c r="G63" s="140">
        <v>248</v>
      </c>
      <c r="H63" s="140">
        <v>0</v>
      </c>
      <c r="I63" s="140">
        <v>0</v>
      </c>
      <c r="J63" s="140">
        <v>0</v>
      </c>
      <c r="K63" s="140">
        <v>0</v>
      </c>
      <c r="L63" s="140">
        <v>0</v>
      </c>
      <c r="M63" s="140">
        <v>0</v>
      </c>
      <c r="N63" s="140">
        <v>0</v>
      </c>
      <c r="O63" s="141">
        <v>0</v>
      </c>
      <c r="P63" s="141">
        <v>0</v>
      </c>
      <c r="Q63" s="140">
        <v>0</v>
      </c>
      <c r="R63" s="140">
        <v>0</v>
      </c>
      <c r="S63" s="140">
        <v>0</v>
      </c>
      <c r="T63" s="140">
        <v>0</v>
      </c>
      <c r="U63" s="111"/>
      <c r="V63" s="111"/>
      <c r="W63" s="109"/>
      <c r="X63" s="109"/>
      <c r="Y63" s="109"/>
      <c r="Z63" s="112"/>
      <c r="AA63" s="110"/>
      <c r="AB63" s="110"/>
    </row>
    <row r="64" spans="1:28" ht="16.5" customHeight="1">
      <c r="A64" s="140" t="s">
        <v>328</v>
      </c>
      <c r="B64" s="140">
        <v>91</v>
      </c>
      <c r="C64" s="140">
        <v>66</v>
      </c>
      <c r="D64" s="140">
        <v>68</v>
      </c>
      <c r="E64" s="140">
        <v>38</v>
      </c>
      <c r="F64" s="140">
        <v>67</v>
      </c>
      <c r="G64" s="140">
        <v>92</v>
      </c>
      <c r="H64" s="140">
        <v>82</v>
      </c>
      <c r="I64" s="140">
        <v>1</v>
      </c>
      <c r="J64" s="140">
        <v>2</v>
      </c>
      <c r="K64" s="140">
        <v>10</v>
      </c>
      <c r="L64" s="140">
        <v>0</v>
      </c>
      <c r="M64" s="140">
        <v>1.4</v>
      </c>
      <c r="N64" s="140">
        <v>3</v>
      </c>
      <c r="O64" s="141">
        <v>0.32</v>
      </c>
      <c r="P64" s="141">
        <v>0.28</v>
      </c>
      <c r="Q64" s="140">
        <v>0.2</v>
      </c>
      <c r="R64" s="140">
        <v>0.3</v>
      </c>
      <c r="S64" s="140">
        <v>0.7</v>
      </c>
      <c r="T64" s="140">
        <v>22</v>
      </c>
      <c r="U64" s="111"/>
      <c r="V64" s="111"/>
      <c r="W64" s="109"/>
      <c r="X64" s="109"/>
      <c r="Y64" s="109"/>
      <c r="Z64" s="112"/>
      <c r="AA64" s="110"/>
      <c r="AB64" s="110"/>
    </row>
    <row r="65" spans="1:28" ht="16.5" customHeight="1">
      <c r="A65" s="140" t="s">
        <v>117</v>
      </c>
      <c r="B65" s="140"/>
      <c r="C65" s="140"/>
      <c r="D65" s="140"/>
      <c r="E65" s="140"/>
      <c r="F65" s="140"/>
      <c r="G65" s="140"/>
      <c r="H65" s="140"/>
      <c r="I65" s="140"/>
      <c r="J65" s="140"/>
      <c r="K65" s="140"/>
      <c r="L65" s="140"/>
      <c r="M65" s="140"/>
      <c r="N65" s="140"/>
      <c r="O65" s="141"/>
      <c r="P65" s="141"/>
      <c r="Q65" s="140"/>
      <c r="R65" s="140"/>
      <c r="S65" s="140"/>
      <c r="T65" s="140"/>
      <c r="U65" s="111"/>
      <c r="V65" s="111"/>
      <c r="W65" s="109"/>
      <c r="X65" s="109"/>
      <c r="Y65" s="109"/>
      <c r="Z65" s="112"/>
      <c r="AA65" s="110"/>
      <c r="AB65" s="110"/>
    </row>
    <row r="66" spans="1:28" ht="16.5" customHeight="1">
      <c r="A66" s="140" t="s">
        <v>118</v>
      </c>
      <c r="B66" s="140">
        <v>36</v>
      </c>
      <c r="C66" s="140">
        <v>69</v>
      </c>
      <c r="D66" s="140">
        <v>71</v>
      </c>
      <c r="E66" s="140">
        <v>43</v>
      </c>
      <c r="F66" s="140">
        <v>70</v>
      </c>
      <c r="G66" s="140">
        <v>15</v>
      </c>
      <c r="H66" s="140">
        <v>20</v>
      </c>
      <c r="I66" s="140">
        <v>27</v>
      </c>
      <c r="J66" s="140">
        <v>32</v>
      </c>
      <c r="K66" s="140">
        <v>60</v>
      </c>
      <c r="L66" s="140">
        <v>41</v>
      </c>
      <c r="M66" s="140">
        <v>3.9</v>
      </c>
      <c r="N66" s="140">
        <v>7</v>
      </c>
      <c r="O66" s="141">
        <v>0.37</v>
      </c>
      <c r="P66" s="141">
        <v>0.3</v>
      </c>
      <c r="Q66" s="140">
        <v>1.9</v>
      </c>
      <c r="R66" s="140">
        <v>0.42</v>
      </c>
      <c r="S66" s="140">
        <v>0.19</v>
      </c>
      <c r="T66" s="140">
        <v>25</v>
      </c>
      <c r="U66" s="111"/>
      <c r="V66" s="111"/>
      <c r="W66" s="109"/>
      <c r="X66" s="109"/>
      <c r="Y66" s="109"/>
      <c r="Z66" s="112"/>
      <c r="AA66" s="110"/>
      <c r="AB66" s="110"/>
    </row>
    <row r="67" spans="1:28" ht="16.5" customHeight="1">
      <c r="A67" s="140" t="s">
        <v>329</v>
      </c>
      <c r="B67" s="140">
        <v>93</v>
      </c>
      <c r="C67" s="140">
        <v>45</v>
      </c>
      <c r="D67" s="140">
        <v>45</v>
      </c>
      <c r="E67" s="140">
        <v>3</v>
      </c>
      <c r="F67" s="140">
        <v>44</v>
      </c>
      <c r="G67" s="140">
        <v>6</v>
      </c>
      <c r="H67" s="140"/>
      <c r="I67" s="140">
        <v>40</v>
      </c>
      <c r="J67" s="140">
        <v>50</v>
      </c>
      <c r="K67" s="140">
        <v>78</v>
      </c>
      <c r="L67" s="140">
        <v>90</v>
      </c>
      <c r="M67" s="140">
        <v>1.1</v>
      </c>
      <c r="N67" s="140">
        <v>6</v>
      </c>
      <c r="O67" s="141">
        <v>0.2</v>
      </c>
      <c r="P67" s="141">
        <v>0.1</v>
      </c>
      <c r="Q67" s="140"/>
      <c r="R67" s="140"/>
      <c r="S67" s="140"/>
      <c r="T67" s="140"/>
      <c r="U67" s="111"/>
      <c r="V67" s="111"/>
      <c r="W67" s="109"/>
      <c r="X67" s="109"/>
      <c r="Y67" s="109"/>
      <c r="Z67" s="112"/>
      <c r="AA67" s="110"/>
      <c r="AB67" s="110"/>
    </row>
    <row r="68" spans="1:28" ht="16.5" customHeight="1">
      <c r="A68" s="140" t="s">
        <v>330</v>
      </c>
      <c r="B68" s="140">
        <v>61</v>
      </c>
      <c r="C68" s="140">
        <v>50</v>
      </c>
      <c r="D68" s="140">
        <v>50</v>
      </c>
      <c r="E68" s="140">
        <v>12</v>
      </c>
      <c r="F68" s="140">
        <v>49</v>
      </c>
      <c r="G68" s="140">
        <v>6</v>
      </c>
      <c r="H68" s="140"/>
      <c r="I68" s="140">
        <v>34</v>
      </c>
      <c r="J68" s="140"/>
      <c r="K68" s="140"/>
      <c r="L68" s="140"/>
      <c r="M68" s="140">
        <v>2.5</v>
      </c>
      <c r="N68" s="140">
        <v>5</v>
      </c>
      <c r="O68" s="141">
        <v>0.4</v>
      </c>
      <c r="P68" s="141">
        <v>0.12</v>
      </c>
      <c r="Q68" s="140">
        <v>0.8</v>
      </c>
      <c r="R68" s="140"/>
      <c r="S68" s="140">
        <v>0.05</v>
      </c>
      <c r="T68" s="140">
        <v>28</v>
      </c>
      <c r="U68" s="111"/>
      <c r="V68" s="111"/>
      <c r="W68" s="109"/>
      <c r="X68" s="109"/>
      <c r="Y68" s="109"/>
      <c r="Z68" s="112"/>
      <c r="AA68" s="110"/>
      <c r="AB68" s="110"/>
    </row>
    <row r="69" spans="1:28" ht="16.5" customHeight="1">
      <c r="A69" s="140" t="s">
        <v>331</v>
      </c>
      <c r="B69" s="140">
        <v>95</v>
      </c>
      <c r="C69" s="140">
        <v>16</v>
      </c>
      <c r="D69" s="140">
        <v>27</v>
      </c>
      <c r="E69" s="140">
        <v>0</v>
      </c>
      <c r="F69" s="140">
        <v>11</v>
      </c>
      <c r="G69" s="140">
        <v>13</v>
      </c>
      <c r="H69" s="140"/>
      <c r="I69" s="140">
        <v>1</v>
      </c>
      <c r="J69" s="140">
        <v>0</v>
      </c>
      <c r="K69" s="140">
        <v>0</v>
      </c>
      <c r="L69" s="140">
        <v>0</v>
      </c>
      <c r="M69" s="140">
        <v>11.6</v>
      </c>
      <c r="N69" s="140">
        <v>77</v>
      </c>
      <c r="O69" s="141">
        <v>27</v>
      </c>
      <c r="P69" s="141">
        <v>12.74</v>
      </c>
      <c r="Q69" s="140">
        <v>0.2</v>
      </c>
      <c r="R69" s="140"/>
      <c r="S69" s="140">
        <v>2.5</v>
      </c>
      <c r="T69" s="140">
        <v>290</v>
      </c>
      <c r="U69" s="111"/>
      <c r="V69" s="111"/>
      <c r="W69" s="109"/>
      <c r="X69" s="109"/>
      <c r="Y69" s="109"/>
      <c r="Z69" s="112"/>
      <c r="AA69" s="110"/>
      <c r="AB69" s="110"/>
    </row>
    <row r="70" spans="1:28" ht="16.5" customHeight="1">
      <c r="A70" s="140" t="s">
        <v>119</v>
      </c>
      <c r="B70" s="140">
        <v>68</v>
      </c>
      <c r="C70" s="140">
        <v>91</v>
      </c>
      <c r="D70" s="140">
        <v>102</v>
      </c>
      <c r="E70" s="140">
        <v>69</v>
      </c>
      <c r="F70" s="140">
        <v>95</v>
      </c>
      <c r="G70" s="140">
        <v>14</v>
      </c>
      <c r="H70" s="140">
        <v>24</v>
      </c>
      <c r="I70" s="140">
        <v>1</v>
      </c>
      <c r="J70" s="140">
        <v>2</v>
      </c>
      <c r="K70" s="140">
        <v>3</v>
      </c>
      <c r="L70" s="140">
        <v>0</v>
      </c>
      <c r="M70" s="140">
        <v>3.2</v>
      </c>
      <c r="N70" s="140">
        <v>3</v>
      </c>
      <c r="O70" s="141">
        <v>0.09</v>
      </c>
      <c r="P70" s="141">
        <v>0.18</v>
      </c>
      <c r="Q70" s="140">
        <v>0.2</v>
      </c>
      <c r="R70" s="140">
        <v>0.76</v>
      </c>
      <c r="S70" s="140">
        <v>0.15</v>
      </c>
      <c r="T70" s="140">
        <v>40</v>
      </c>
      <c r="U70" s="111"/>
      <c r="V70" s="111"/>
      <c r="W70" s="109"/>
      <c r="X70" s="109"/>
      <c r="Y70" s="109"/>
      <c r="Z70" s="112"/>
      <c r="AA70" s="110"/>
      <c r="AB70" s="110"/>
    </row>
    <row r="71" spans="1:28" ht="16.5" customHeight="1">
      <c r="A71" s="140" t="s">
        <v>120</v>
      </c>
      <c r="B71" s="140">
        <v>92</v>
      </c>
      <c r="C71" s="140">
        <v>84</v>
      </c>
      <c r="D71" s="140">
        <v>92</v>
      </c>
      <c r="E71" s="140">
        <v>61</v>
      </c>
      <c r="F71" s="140">
        <v>87</v>
      </c>
      <c r="G71" s="140">
        <v>25</v>
      </c>
      <c r="H71" s="140">
        <v>54</v>
      </c>
      <c r="I71" s="140">
        <v>14</v>
      </c>
      <c r="J71" s="140">
        <v>24</v>
      </c>
      <c r="K71" s="140">
        <v>49</v>
      </c>
      <c r="L71" s="140">
        <v>18</v>
      </c>
      <c r="M71" s="140">
        <v>8.2</v>
      </c>
      <c r="N71" s="140">
        <v>4</v>
      </c>
      <c r="O71" s="141">
        <v>0.29</v>
      </c>
      <c r="P71" s="141">
        <v>0.6</v>
      </c>
      <c r="Q71" s="140">
        <v>0.1</v>
      </c>
      <c r="R71" s="140">
        <v>0.15</v>
      </c>
      <c r="S71" s="140">
        <v>0.32</v>
      </c>
      <c r="T71" s="140">
        <v>78</v>
      </c>
      <c r="U71" s="111"/>
      <c r="V71" s="111"/>
      <c r="W71" s="109"/>
      <c r="X71" s="109"/>
      <c r="Y71" s="109"/>
      <c r="Z71" s="112"/>
      <c r="AA71" s="110"/>
      <c r="AB71" s="110"/>
    </row>
    <row r="72" spans="1:28" ht="16.5" customHeight="1">
      <c r="A72" s="140" t="s">
        <v>121</v>
      </c>
      <c r="B72" s="140">
        <v>23</v>
      </c>
      <c r="C72" s="140">
        <v>85</v>
      </c>
      <c r="D72" s="140">
        <v>93</v>
      </c>
      <c r="E72" s="140">
        <v>62</v>
      </c>
      <c r="F72" s="140">
        <v>88</v>
      </c>
      <c r="G72" s="140">
        <v>27</v>
      </c>
      <c r="H72" s="140">
        <v>52</v>
      </c>
      <c r="I72" s="140">
        <v>13</v>
      </c>
      <c r="J72" s="140">
        <v>21</v>
      </c>
      <c r="K72" s="140">
        <v>45</v>
      </c>
      <c r="L72" s="140">
        <v>18</v>
      </c>
      <c r="M72" s="140">
        <v>7.6</v>
      </c>
      <c r="N72" s="140">
        <v>4</v>
      </c>
      <c r="O72" s="141">
        <v>0.29</v>
      </c>
      <c r="P72" s="141">
        <v>0.61</v>
      </c>
      <c r="Q72" s="140">
        <v>0.1</v>
      </c>
      <c r="R72" s="140">
        <v>0.15</v>
      </c>
      <c r="S72" s="140">
        <v>0.32</v>
      </c>
      <c r="T72" s="140">
        <v>78</v>
      </c>
      <c r="U72" s="111"/>
      <c r="V72" s="111"/>
      <c r="W72" s="109"/>
      <c r="X72" s="109"/>
      <c r="Y72" s="109"/>
      <c r="Z72" s="112"/>
      <c r="AA72" s="110"/>
      <c r="AB72" s="110"/>
    </row>
    <row r="73" spans="1:28" ht="16.5" customHeight="1">
      <c r="A73" s="140" t="s">
        <v>122</v>
      </c>
      <c r="B73" s="140">
        <v>94</v>
      </c>
      <c r="C73" s="140">
        <v>79</v>
      </c>
      <c r="D73" s="140">
        <v>85</v>
      </c>
      <c r="E73" s="140">
        <v>55</v>
      </c>
      <c r="F73" s="140">
        <v>81</v>
      </c>
      <c r="G73" s="140">
        <v>48</v>
      </c>
      <c r="H73" s="140"/>
      <c r="I73" s="140">
        <v>3</v>
      </c>
      <c r="J73" s="140"/>
      <c r="K73" s="140"/>
      <c r="L73" s="140"/>
      <c r="M73" s="140">
        <v>1</v>
      </c>
      <c r="N73" s="140">
        <v>7</v>
      </c>
      <c r="O73" s="141">
        <v>0.1</v>
      </c>
      <c r="P73" s="141">
        <v>1.56</v>
      </c>
      <c r="Q73" s="140">
        <v>1.8</v>
      </c>
      <c r="R73" s="140"/>
      <c r="S73" s="140">
        <v>0.41</v>
      </c>
      <c r="T73" s="140">
        <v>41</v>
      </c>
      <c r="U73" s="111"/>
      <c r="V73" s="111"/>
      <c r="W73" s="109"/>
      <c r="X73" s="109"/>
      <c r="Y73" s="109"/>
      <c r="Z73" s="112"/>
      <c r="AA73" s="110"/>
      <c r="AB73" s="110"/>
    </row>
    <row r="74" spans="1:28" ht="16.5" customHeight="1">
      <c r="A74" s="140" t="s">
        <v>123</v>
      </c>
      <c r="B74" s="140">
        <v>30</v>
      </c>
      <c r="C74" s="140">
        <v>64</v>
      </c>
      <c r="D74" s="140">
        <v>65</v>
      </c>
      <c r="E74" s="140">
        <v>36</v>
      </c>
      <c r="F74" s="140">
        <v>65</v>
      </c>
      <c r="G74" s="140">
        <v>15</v>
      </c>
      <c r="H74" s="140">
        <v>22</v>
      </c>
      <c r="I74" s="140">
        <v>28</v>
      </c>
      <c r="J74" s="140">
        <v>33</v>
      </c>
      <c r="K74" s="140">
        <v>54</v>
      </c>
      <c r="L74" s="140">
        <v>40</v>
      </c>
      <c r="M74" s="140">
        <v>4.1</v>
      </c>
      <c r="N74" s="140">
        <v>10</v>
      </c>
      <c r="O74" s="141">
        <v>0.45</v>
      </c>
      <c r="P74" s="141">
        <v>0.34</v>
      </c>
      <c r="Q74" s="140">
        <v>2.3</v>
      </c>
      <c r="R74" s="140"/>
      <c r="S74" s="140">
        <v>0.21</v>
      </c>
      <c r="T74" s="140">
        <v>20</v>
      </c>
      <c r="U74" s="111"/>
      <c r="V74" s="111"/>
      <c r="W74" s="109"/>
      <c r="X74" s="109"/>
      <c r="Y74" s="109"/>
      <c r="Z74" s="112"/>
      <c r="AA74" s="110"/>
      <c r="AB74" s="110"/>
    </row>
    <row r="75" spans="1:28" ht="16.5" customHeight="1">
      <c r="A75" s="140" t="s">
        <v>332</v>
      </c>
      <c r="B75" s="140">
        <v>89</v>
      </c>
      <c r="C75" s="140">
        <v>55</v>
      </c>
      <c r="D75" s="140">
        <v>55</v>
      </c>
      <c r="E75" s="140">
        <v>21</v>
      </c>
      <c r="F75" s="140">
        <v>55</v>
      </c>
      <c r="G75" s="140">
        <v>10</v>
      </c>
      <c r="H75" s="140">
        <v>33</v>
      </c>
      <c r="I75" s="140">
        <v>35</v>
      </c>
      <c r="J75" s="140">
        <v>41</v>
      </c>
      <c r="K75" s="140">
        <v>66</v>
      </c>
      <c r="L75" s="140">
        <v>98</v>
      </c>
      <c r="M75" s="140">
        <v>2.3</v>
      </c>
      <c r="N75" s="140">
        <v>9</v>
      </c>
      <c r="O75" s="141">
        <v>0.4</v>
      </c>
      <c r="P75" s="141">
        <v>0.23</v>
      </c>
      <c r="Q75" s="140">
        <v>1.9</v>
      </c>
      <c r="R75" s="140">
        <v>0.4</v>
      </c>
      <c r="S75" s="140">
        <v>0.19</v>
      </c>
      <c r="T75" s="140">
        <v>19</v>
      </c>
      <c r="U75" s="111"/>
      <c r="V75" s="111"/>
      <c r="W75" s="109"/>
      <c r="X75" s="109"/>
      <c r="Y75" s="109"/>
      <c r="Z75" s="112"/>
      <c r="AA75" s="110"/>
      <c r="AB75" s="110"/>
    </row>
    <row r="76" spans="1:28" ht="16.5" customHeight="1">
      <c r="A76" s="140" t="s">
        <v>333</v>
      </c>
      <c r="B76" s="140">
        <v>35</v>
      </c>
      <c r="C76" s="140">
        <v>57</v>
      </c>
      <c r="D76" s="140">
        <v>57</v>
      </c>
      <c r="E76" s="140">
        <v>25</v>
      </c>
      <c r="F76" s="140">
        <v>57</v>
      </c>
      <c r="G76" s="140">
        <v>11</v>
      </c>
      <c r="H76" s="140">
        <v>26</v>
      </c>
      <c r="I76" s="140">
        <v>36</v>
      </c>
      <c r="J76" s="140">
        <v>44</v>
      </c>
      <c r="K76" s="140">
        <v>69</v>
      </c>
      <c r="L76" s="140">
        <v>61</v>
      </c>
      <c r="M76" s="140">
        <v>2.5</v>
      </c>
      <c r="N76" s="140">
        <v>8</v>
      </c>
      <c r="O76" s="141">
        <v>0.38</v>
      </c>
      <c r="P76" s="141">
        <v>0.3</v>
      </c>
      <c r="Q76" s="140">
        <v>2</v>
      </c>
      <c r="R76" s="140"/>
      <c r="S76" s="140">
        <v>0.2</v>
      </c>
      <c r="T76" s="140">
        <v>19</v>
      </c>
      <c r="U76" s="111"/>
      <c r="V76" s="111"/>
      <c r="W76" s="109"/>
      <c r="X76" s="109"/>
      <c r="Y76" s="109"/>
      <c r="Z76" s="112"/>
      <c r="AA76" s="110"/>
      <c r="AB76" s="110"/>
    </row>
    <row r="77" spans="1:28" ht="16.5" customHeight="1">
      <c r="A77" s="140" t="s">
        <v>334</v>
      </c>
      <c r="B77" s="140">
        <v>88</v>
      </c>
      <c r="C77" s="140">
        <v>77</v>
      </c>
      <c r="D77" s="140">
        <v>82</v>
      </c>
      <c r="E77" s="140">
        <v>53</v>
      </c>
      <c r="F77" s="140">
        <v>79</v>
      </c>
      <c r="G77" s="140">
        <v>12</v>
      </c>
      <c r="H77" s="140"/>
      <c r="I77" s="140">
        <v>12</v>
      </c>
      <c r="J77" s="140">
        <v>17</v>
      </c>
      <c r="K77" s="140"/>
      <c r="L77" s="140"/>
      <c r="M77" s="140">
        <v>2.8</v>
      </c>
      <c r="N77" s="140">
        <v>2</v>
      </c>
      <c r="O77" s="141">
        <v>0.11</v>
      </c>
      <c r="P77" s="141">
        <v>0.36</v>
      </c>
      <c r="Q77" s="140">
        <v>0.5</v>
      </c>
      <c r="R77" s="140">
        <v>0.05</v>
      </c>
      <c r="S77" s="140">
        <v>0.16</v>
      </c>
      <c r="T77" s="140">
        <v>10</v>
      </c>
      <c r="U77" s="111"/>
      <c r="V77" s="111"/>
      <c r="W77" s="109"/>
      <c r="X77" s="109"/>
      <c r="Y77" s="109"/>
      <c r="Z77" s="112"/>
      <c r="AA77" s="110"/>
      <c r="AB77" s="110"/>
    </row>
    <row r="78" spans="1:28" ht="16.5" customHeight="1">
      <c r="A78" s="140" t="s">
        <v>124</v>
      </c>
      <c r="B78" s="140">
        <v>92</v>
      </c>
      <c r="C78" s="140">
        <v>88</v>
      </c>
      <c r="D78" s="140">
        <v>98</v>
      </c>
      <c r="E78" s="140">
        <v>65</v>
      </c>
      <c r="F78" s="140">
        <v>91</v>
      </c>
      <c r="G78" s="140">
        <v>34</v>
      </c>
      <c r="H78" s="140">
        <v>0</v>
      </c>
      <c r="I78" s="140">
        <v>5</v>
      </c>
      <c r="J78" s="140">
        <v>0</v>
      </c>
      <c r="K78" s="140">
        <v>0</v>
      </c>
      <c r="L78" s="140">
        <v>0</v>
      </c>
      <c r="M78" s="140">
        <v>5</v>
      </c>
      <c r="N78" s="140">
        <v>10</v>
      </c>
      <c r="O78" s="141">
        <v>1.44</v>
      </c>
      <c r="P78" s="141">
        <v>1</v>
      </c>
      <c r="Q78" s="140">
        <v>0.9</v>
      </c>
      <c r="R78" s="140"/>
      <c r="S78" s="140">
        <v>0.09</v>
      </c>
      <c r="T78" s="140">
        <v>44</v>
      </c>
      <c r="U78" s="111"/>
      <c r="V78" s="111"/>
      <c r="W78" s="109"/>
      <c r="X78" s="109"/>
      <c r="Y78" s="109"/>
      <c r="Z78" s="112"/>
      <c r="AA78" s="110"/>
      <c r="AB78" s="110"/>
    </row>
    <row r="79" spans="1:28" ht="16.5" customHeight="1">
      <c r="A79" s="140" t="s">
        <v>335</v>
      </c>
      <c r="B79" s="140">
        <v>26</v>
      </c>
      <c r="C79" s="140">
        <v>63</v>
      </c>
      <c r="D79" s="140">
        <v>64</v>
      </c>
      <c r="E79" s="140">
        <v>34</v>
      </c>
      <c r="F79" s="140">
        <v>64</v>
      </c>
      <c r="G79" s="140">
        <v>5</v>
      </c>
      <c r="H79" s="140"/>
      <c r="I79" s="140">
        <v>18</v>
      </c>
      <c r="J79" s="140">
        <v>23</v>
      </c>
      <c r="K79" s="140">
        <v>29</v>
      </c>
      <c r="L79" s="140"/>
      <c r="M79" s="140">
        <v>2.1</v>
      </c>
      <c r="N79" s="140">
        <v>17</v>
      </c>
      <c r="O79" s="141">
        <v>3.5</v>
      </c>
      <c r="P79" s="141">
        <v>0.1</v>
      </c>
      <c r="Q79" s="140">
        <v>1.7</v>
      </c>
      <c r="R79" s="140"/>
      <c r="S79" s="140">
        <v>0.2</v>
      </c>
      <c r="T79" s="140"/>
      <c r="U79" s="111"/>
      <c r="V79" s="111"/>
      <c r="W79" s="109"/>
      <c r="X79" s="109"/>
      <c r="Y79" s="109"/>
      <c r="Z79" s="112"/>
      <c r="AA79" s="110"/>
      <c r="AB79" s="110"/>
    </row>
    <row r="80" spans="1:28" ht="16.5" customHeight="1">
      <c r="A80" s="140" t="s">
        <v>336</v>
      </c>
      <c r="B80" s="140">
        <v>99</v>
      </c>
      <c r="C80" s="140">
        <v>0</v>
      </c>
      <c r="D80" s="140">
        <v>0</v>
      </c>
      <c r="E80" s="140">
        <v>0</v>
      </c>
      <c r="F80" s="140">
        <v>0</v>
      </c>
      <c r="G80" s="140">
        <v>0</v>
      </c>
      <c r="H80" s="140"/>
      <c r="I80" s="140">
        <v>0</v>
      </c>
      <c r="J80" s="140">
        <v>0</v>
      </c>
      <c r="K80" s="140">
        <v>0</v>
      </c>
      <c r="L80" s="140">
        <v>0</v>
      </c>
      <c r="M80" s="140">
        <v>0</v>
      </c>
      <c r="N80" s="140">
        <v>99</v>
      </c>
      <c r="O80" s="141">
        <v>38.5</v>
      </c>
      <c r="P80" s="141">
        <v>0.04</v>
      </c>
      <c r="Q80" s="140">
        <v>0.1</v>
      </c>
      <c r="R80" s="140"/>
      <c r="S80" s="140">
        <v>0</v>
      </c>
      <c r="T80" s="140">
        <v>0</v>
      </c>
      <c r="U80" s="111"/>
      <c r="V80" s="111"/>
      <c r="W80" s="109"/>
      <c r="X80" s="109"/>
      <c r="Y80" s="109"/>
      <c r="Z80" s="112"/>
      <c r="AA80" s="110"/>
      <c r="AB80" s="110"/>
    </row>
    <row r="81" spans="1:28" ht="16.5" customHeight="1">
      <c r="A81" s="140" t="s">
        <v>337</v>
      </c>
      <c r="B81" s="140">
        <v>91</v>
      </c>
      <c r="C81" s="140">
        <v>53</v>
      </c>
      <c r="D81" s="140">
        <v>53</v>
      </c>
      <c r="E81" s="140">
        <v>18</v>
      </c>
      <c r="F81" s="140">
        <v>53</v>
      </c>
      <c r="G81" s="140">
        <v>9</v>
      </c>
      <c r="H81" s="140">
        <v>26</v>
      </c>
      <c r="I81" s="140">
        <v>32</v>
      </c>
      <c r="J81" s="140">
        <v>34</v>
      </c>
      <c r="K81" s="140">
        <v>67</v>
      </c>
      <c r="L81" s="140">
        <v>98</v>
      </c>
      <c r="M81" s="140">
        <v>2.7</v>
      </c>
      <c r="N81" s="140">
        <v>8</v>
      </c>
      <c r="O81" s="141">
        <v>0.38</v>
      </c>
      <c r="P81" s="141">
        <v>0.25</v>
      </c>
      <c r="Q81" s="140">
        <v>2.7</v>
      </c>
      <c r="R81" s="140"/>
      <c r="S81" s="140">
        <v>0.14</v>
      </c>
      <c r="T81" s="140">
        <v>18</v>
      </c>
      <c r="U81" s="111"/>
      <c r="V81" s="111"/>
      <c r="W81" s="109"/>
      <c r="X81" s="109"/>
      <c r="Y81" s="109"/>
      <c r="Z81" s="112"/>
      <c r="AA81" s="110"/>
      <c r="AB81" s="110"/>
    </row>
    <row r="82" spans="1:28" ht="16.5" customHeight="1">
      <c r="A82" s="140" t="s">
        <v>338</v>
      </c>
      <c r="B82" s="140">
        <v>90</v>
      </c>
      <c r="C82" s="140">
        <v>71</v>
      </c>
      <c r="D82" s="140">
        <v>74</v>
      </c>
      <c r="E82" s="140">
        <v>46</v>
      </c>
      <c r="F82" s="140">
        <v>73</v>
      </c>
      <c r="G82" s="140">
        <v>40</v>
      </c>
      <c r="H82" s="140">
        <v>30</v>
      </c>
      <c r="I82" s="140">
        <v>12</v>
      </c>
      <c r="J82" s="140">
        <v>20</v>
      </c>
      <c r="K82" s="140">
        <v>29</v>
      </c>
      <c r="L82" s="140">
        <v>23</v>
      </c>
      <c r="M82" s="140">
        <v>4</v>
      </c>
      <c r="N82" s="140">
        <v>8</v>
      </c>
      <c r="O82" s="141">
        <v>0.75</v>
      </c>
      <c r="P82" s="141">
        <v>1.16</v>
      </c>
      <c r="Q82" s="140">
        <v>1.3</v>
      </c>
      <c r="R82" s="140">
        <v>0.07</v>
      </c>
      <c r="S82" s="140">
        <v>0.78</v>
      </c>
      <c r="T82" s="140">
        <v>68</v>
      </c>
      <c r="U82" s="111"/>
      <c r="V82" s="111"/>
      <c r="W82" s="109"/>
      <c r="X82" s="109"/>
      <c r="Y82" s="109"/>
      <c r="Z82" s="112"/>
      <c r="AA82" s="110"/>
      <c r="AB82" s="110"/>
    </row>
    <row r="83" spans="1:28" ht="16.5" customHeight="1">
      <c r="A83" s="140" t="s">
        <v>339</v>
      </c>
      <c r="B83" s="140">
        <v>14</v>
      </c>
      <c r="C83" s="140">
        <v>62</v>
      </c>
      <c r="D83" s="140">
        <v>63</v>
      </c>
      <c r="E83" s="140">
        <v>33</v>
      </c>
      <c r="F83" s="140">
        <v>63</v>
      </c>
      <c r="G83" s="140">
        <v>6</v>
      </c>
      <c r="H83" s="140"/>
      <c r="I83" s="140">
        <v>19</v>
      </c>
      <c r="J83" s="140">
        <v>23</v>
      </c>
      <c r="K83" s="140">
        <v>40</v>
      </c>
      <c r="L83" s="140">
        <v>0</v>
      </c>
      <c r="M83" s="140">
        <v>7.8</v>
      </c>
      <c r="N83" s="140">
        <v>9</v>
      </c>
      <c r="O83" s="141"/>
      <c r="P83" s="141"/>
      <c r="Q83" s="140"/>
      <c r="R83" s="140"/>
      <c r="S83" s="140"/>
      <c r="T83" s="140"/>
      <c r="U83" s="111"/>
      <c r="V83" s="111"/>
      <c r="W83" s="109"/>
      <c r="X83" s="109"/>
      <c r="Y83" s="109"/>
      <c r="Z83" s="112"/>
      <c r="AA83" s="110"/>
      <c r="AB83" s="110"/>
    </row>
    <row r="84" spans="1:28" ht="16.5" customHeight="1">
      <c r="A84" s="140" t="s">
        <v>340</v>
      </c>
      <c r="B84" s="140">
        <v>12</v>
      </c>
      <c r="C84" s="140">
        <v>83</v>
      </c>
      <c r="D84" s="140">
        <v>90</v>
      </c>
      <c r="E84" s="140">
        <v>60</v>
      </c>
      <c r="F84" s="140">
        <v>86</v>
      </c>
      <c r="G84" s="140">
        <v>10</v>
      </c>
      <c r="H84" s="140"/>
      <c r="I84" s="140">
        <v>9</v>
      </c>
      <c r="J84" s="140">
        <v>11</v>
      </c>
      <c r="K84" s="140">
        <v>20</v>
      </c>
      <c r="L84" s="140">
        <v>0</v>
      </c>
      <c r="M84" s="140">
        <v>1.4</v>
      </c>
      <c r="N84" s="140">
        <v>10</v>
      </c>
      <c r="O84" s="141">
        <v>0.6</v>
      </c>
      <c r="P84" s="141">
        <v>0.3</v>
      </c>
      <c r="Q84" s="140">
        <v>2.4</v>
      </c>
      <c r="R84" s="140">
        <v>0.5</v>
      </c>
      <c r="S84" s="140">
        <v>0.17</v>
      </c>
      <c r="T84" s="140"/>
      <c r="U84" s="111"/>
      <c r="V84" s="111"/>
      <c r="W84" s="109"/>
      <c r="X84" s="109"/>
      <c r="Y84" s="109"/>
      <c r="Z84" s="112"/>
      <c r="AA84" s="110"/>
      <c r="AB84" s="110"/>
    </row>
    <row r="85" spans="1:28" ht="16.5" customHeight="1">
      <c r="A85" s="140" t="s">
        <v>341</v>
      </c>
      <c r="B85" s="140">
        <v>16</v>
      </c>
      <c r="C85" s="140">
        <v>73</v>
      </c>
      <c r="D85" s="140">
        <v>77</v>
      </c>
      <c r="E85" s="140">
        <v>48</v>
      </c>
      <c r="F85" s="140">
        <v>75</v>
      </c>
      <c r="G85" s="140">
        <v>13</v>
      </c>
      <c r="H85" s="140"/>
      <c r="I85" s="140">
        <v>18</v>
      </c>
      <c r="J85" s="140">
        <v>23</v>
      </c>
      <c r="K85" s="140">
        <v>45</v>
      </c>
      <c r="L85" s="140">
        <v>41</v>
      </c>
      <c r="M85" s="140">
        <v>3.8</v>
      </c>
      <c r="N85" s="140">
        <v>15</v>
      </c>
      <c r="O85" s="141">
        <v>1.94</v>
      </c>
      <c r="P85" s="141">
        <v>0.19</v>
      </c>
      <c r="Q85" s="140">
        <v>1.9</v>
      </c>
      <c r="R85" s="140"/>
      <c r="S85" s="140"/>
      <c r="T85" s="140"/>
      <c r="U85" s="111"/>
      <c r="V85" s="111"/>
      <c r="W85" s="109"/>
      <c r="X85" s="109"/>
      <c r="Y85" s="109"/>
      <c r="Z85" s="112"/>
      <c r="AA85" s="110"/>
      <c r="AB85" s="110"/>
    </row>
    <row r="86" spans="1:28" ht="16.5" customHeight="1">
      <c r="A86" s="140" t="s">
        <v>125</v>
      </c>
      <c r="B86" s="140">
        <v>92</v>
      </c>
      <c r="C86" s="140">
        <v>38</v>
      </c>
      <c r="D86" s="140">
        <v>40</v>
      </c>
      <c r="E86" s="140">
        <v>0</v>
      </c>
      <c r="F86" s="140">
        <v>36</v>
      </c>
      <c r="G86" s="140">
        <v>17</v>
      </c>
      <c r="H86" s="140"/>
      <c r="I86" s="140">
        <v>34</v>
      </c>
      <c r="J86" s="140">
        <v>37</v>
      </c>
      <c r="K86" s="140">
        <v>55</v>
      </c>
      <c r="L86" s="140">
        <v>0</v>
      </c>
      <c r="M86" s="140">
        <v>2.6</v>
      </c>
      <c r="N86" s="140">
        <v>14</v>
      </c>
      <c r="O86" s="141">
        <v>1.35</v>
      </c>
      <c r="P86" s="141">
        <v>1</v>
      </c>
      <c r="Q86" s="140">
        <v>0.6</v>
      </c>
      <c r="R86" s="140"/>
      <c r="S86" s="140">
        <v>1.78</v>
      </c>
      <c r="T86" s="140">
        <v>240</v>
      </c>
      <c r="U86" s="111"/>
      <c r="V86" s="111"/>
      <c r="W86" s="109"/>
      <c r="X86" s="109"/>
      <c r="Y86" s="109"/>
      <c r="Z86" s="112"/>
      <c r="AA86" s="110"/>
      <c r="AB86" s="110"/>
    </row>
    <row r="87" spans="1:28" ht="16.5" customHeight="1">
      <c r="A87" s="140" t="s">
        <v>126</v>
      </c>
      <c r="B87" s="140">
        <v>21</v>
      </c>
      <c r="C87" s="140">
        <v>68</v>
      </c>
      <c r="D87" s="140">
        <v>70</v>
      </c>
      <c r="E87" s="140">
        <v>41</v>
      </c>
      <c r="F87" s="140">
        <v>69</v>
      </c>
      <c r="G87" s="140">
        <v>16</v>
      </c>
      <c r="H87" s="140"/>
      <c r="I87" s="140">
        <v>23</v>
      </c>
      <c r="J87" s="140"/>
      <c r="K87" s="140"/>
      <c r="L87" s="140"/>
      <c r="M87" s="140">
        <v>2.7</v>
      </c>
      <c r="N87" s="140">
        <v>10</v>
      </c>
      <c r="O87" s="141">
        <v>0.6</v>
      </c>
      <c r="P87" s="141">
        <v>0.28</v>
      </c>
      <c r="Q87" s="140"/>
      <c r="R87" s="140"/>
      <c r="S87" s="140"/>
      <c r="T87" s="140"/>
      <c r="U87" s="111"/>
      <c r="V87" s="111"/>
      <c r="W87" s="109"/>
      <c r="X87" s="109"/>
      <c r="Y87" s="109"/>
      <c r="Z87" s="112"/>
      <c r="AA87" s="110"/>
      <c r="AB87" s="110"/>
    </row>
    <row r="88" spans="1:28" ht="16.5" customHeight="1">
      <c r="A88" s="140" t="s">
        <v>127</v>
      </c>
      <c r="B88" s="140">
        <v>90</v>
      </c>
      <c r="C88" s="140">
        <v>79</v>
      </c>
      <c r="D88" s="140">
        <v>85</v>
      </c>
      <c r="E88" s="140">
        <v>55</v>
      </c>
      <c r="F88" s="140">
        <v>81</v>
      </c>
      <c r="G88" s="140">
        <v>7</v>
      </c>
      <c r="H88" s="140">
        <v>38</v>
      </c>
      <c r="I88" s="140">
        <v>13</v>
      </c>
      <c r="J88" s="140">
        <v>18</v>
      </c>
      <c r="K88" s="140">
        <v>21</v>
      </c>
      <c r="L88" s="140">
        <v>33</v>
      </c>
      <c r="M88" s="140">
        <v>2.2</v>
      </c>
      <c r="N88" s="140">
        <v>7</v>
      </c>
      <c r="O88" s="141">
        <v>1.81</v>
      </c>
      <c r="P88" s="141">
        <v>0.12</v>
      </c>
      <c r="Q88" s="140">
        <v>0.8</v>
      </c>
      <c r="R88" s="140">
        <v>0.04</v>
      </c>
      <c r="S88" s="140">
        <v>0.08</v>
      </c>
      <c r="T88" s="140">
        <v>14</v>
      </c>
      <c r="U88" s="111"/>
      <c r="V88" s="111"/>
      <c r="W88" s="109"/>
      <c r="X88" s="109"/>
      <c r="Y88" s="109"/>
      <c r="Z88" s="112"/>
      <c r="AA88" s="110"/>
      <c r="AB88" s="110"/>
    </row>
    <row r="89" spans="1:28" ht="16.5" customHeight="1">
      <c r="A89" s="140" t="s">
        <v>128</v>
      </c>
      <c r="B89" s="140">
        <v>19</v>
      </c>
      <c r="C89" s="140">
        <v>69</v>
      </c>
      <c r="D89" s="140">
        <v>71</v>
      </c>
      <c r="E89" s="140">
        <v>43</v>
      </c>
      <c r="F89" s="140">
        <v>70</v>
      </c>
      <c r="G89" s="140">
        <v>25</v>
      </c>
      <c r="H89" s="140">
        <v>20</v>
      </c>
      <c r="I89" s="140">
        <v>14</v>
      </c>
      <c r="J89" s="140">
        <v>33</v>
      </c>
      <c r="K89" s="140">
        <v>35</v>
      </c>
      <c r="L89" s="140">
        <v>41</v>
      </c>
      <c r="M89" s="140">
        <v>4.8</v>
      </c>
      <c r="N89" s="140">
        <v>11</v>
      </c>
      <c r="O89" s="141">
        <v>1.27</v>
      </c>
      <c r="P89" s="141">
        <v>0.38</v>
      </c>
      <c r="Q89" s="140">
        <v>2.4</v>
      </c>
      <c r="R89" s="140"/>
      <c r="S89" s="140">
        <v>0.2</v>
      </c>
      <c r="T89" s="140">
        <v>20</v>
      </c>
      <c r="U89" s="111"/>
      <c r="V89" s="111"/>
      <c r="W89" s="109"/>
      <c r="X89" s="109"/>
      <c r="Y89" s="109"/>
      <c r="Z89" s="112"/>
      <c r="AA89" s="110"/>
      <c r="AB89" s="110"/>
    </row>
    <row r="90" spans="1:28" ht="16.5" customHeight="1">
      <c r="A90" s="140" t="s">
        <v>129</v>
      </c>
      <c r="B90" s="140">
        <v>90</v>
      </c>
      <c r="C90" s="140">
        <v>61</v>
      </c>
      <c r="D90" s="140">
        <v>62</v>
      </c>
      <c r="E90" s="140">
        <v>31</v>
      </c>
      <c r="F90" s="140">
        <v>61</v>
      </c>
      <c r="G90" s="140">
        <v>21</v>
      </c>
      <c r="H90" s="140">
        <v>25</v>
      </c>
      <c r="I90" s="140">
        <v>22</v>
      </c>
      <c r="J90" s="140">
        <v>32</v>
      </c>
      <c r="K90" s="140">
        <v>36</v>
      </c>
      <c r="L90" s="140">
        <v>92</v>
      </c>
      <c r="M90" s="140">
        <v>2</v>
      </c>
      <c r="N90" s="140">
        <v>9</v>
      </c>
      <c r="O90" s="141">
        <v>1.35</v>
      </c>
      <c r="P90" s="141">
        <v>0.32</v>
      </c>
      <c r="Q90" s="140">
        <v>2.4</v>
      </c>
      <c r="R90" s="140">
        <v>0.3</v>
      </c>
      <c r="S90" s="140">
        <v>0.2</v>
      </c>
      <c r="T90" s="140">
        <v>17</v>
      </c>
      <c r="U90" s="111"/>
      <c r="V90" s="111"/>
      <c r="W90" s="109"/>
      <c r="X90" s="109"/>
      <c r="Y90" s="109"/>
      <c r="Z90" s="112"/>
      <c r="AA90" s="110"/>
      <c r="AB90" s="110"/>
    </row>
    <row r="91" spans="1:28" ht="16.5" customHeight="1">
      <c r="A91" s="140" t="s">
        <v>130</v>
      </c>
      <c r="B91" s="140">
        <v>24</v>
      </c>
      <c r="C91" s="140">
        <v>64</v>
      </c>
      <c r="D91" s="140">
        <v>65</v>
      </c>
      <c r="E91" s="140">
        <v>36</v>
      </c>
      <c r="F91" s="140">
        <v>65</v>
      </c>
      <c r="G91" s="140">
        <v>18</v>
      </c>
      <c r="H91" s="140">
        <v>21</v>
      </c>
      <c r="I91" s="140">
        <v>24</v>
      </c>
      <c r="J91" s="140">
        <v>33</v>
      </c>
      <c r="K91" s="140">
        <v>44</v>
      </c>
      <c r="L91" s="140">
        <v>41</v>
      </c>
      <c r="M91" s="140">
        <v>4</v>
      </c>
      <c r="N91" s="140">
        <v>9</v>
      </c>
      <c r="O91" s="141">
        <v>1.7</v>
      </c>
      <c r="P91" s="141">
        <v>0.3</v>
      </c>
      <c r="Q91" s="140">
        <v>2</v>
      </c>
      <c r="R91" s="140">
        <v>0.6</v>
      </c>
      <c r="S91" s="140">
        <v>0.17</v>
      </c>
      <c r="T91" s="140">
        <v>23</v>
      </c>
      <c r="U91" s="111"/>
      <c r="V91" s="111"/>
      <c r="W91" s="109"/>
      <c r="X91" s="109"/>
      <c r="Y91" s="109"/>
      <c r="Z91" s="112"/>
      <c r="AA91" s="110"/>
      <c r="AB91" s="110"/>
    </row>
    <row r="92" spans="1:28" ht="16.5" customHeight="1">
      <c r="A92" s="140" t="s">
        <v>131</v>
      </c>
      <c r="B92" s="140">
        <v>88</v>
      </c>
      <c r="C92" s="140">
        <v>55</v>
      </c>
      <c r="D92" s="140">
        <v>55</v>
      </c>
      <c r="E92" s="140">
        <v>21</v>
      </c>
      <c r="F92" s="140">
        <v>55</v>
      </c>
      <c r="G92" s="140">
        <v>15</v>
      </c>
      <c r="H92" s="140">
        <v>28</v>
      </c>
      <c r="I92" s="140">
        <v>30</v>
      </c>
      <c r="J92" s="140">
        <v>39</v>
      </c>
      <c r="K92" s="140">
        <v>51</v>
      </c>
      <c r="L92" s="140">
        <v>92</v>
      </c>
      <c r="M92" s="140">
        <v>2.5</v>
      </c>
      <c r="N92" s="140">
        <v>8</v>
      </c>
      <c r="O92" s="141">
        <v>1.5</v>
      </c>
      <c r="P92" s="141">
        <v>0.25</v>
      </c>
      <c r="Q92" s="140">
        <v>1.7</v>
      </c>
      <c r="R92" s="140">
        <v>0.32</v>
      </c>
      <c r="S92" s="140">
        <v>0.17</v>
      </c>
      <c r="T92" s="140">
        <v>17</v>
      </c>
      <c r="U92" s="111"/>
      <c r="V92" s="111"/>
      <c r="W92" s="109"/>
      <c r="X92" s="109"/>
      <c r="Y92" s="109"/>
      <c r="Z92" s="112"/>
      <c r="AA92" s="110"/>
      <c r="AB92" s="110"/>
    </row>
    <row r="93" spans="1:28" ht="16.5" customHeight="1">
      <c r="A93" s="140" t="s">
        <v>132</v>
      </c>
      <c r="B93" s="140">
        <v>91</v>
      </c>
      <c r="C93" s="140">
        <v>53</v>
      </c>
      <c r="D93" s="140">
        <v>53</v>
      </c>
      <c r="E93" s="140">
        <v>18</v>
      </c>
      <c r="F93" s="140">
        <v>53</v>
      </c>
      <c r="G93" s="140">
        <v>16</v>
      </c>
      <c r="H93" s="140">
        <v>30</v>
      </c>
      <c r="I93" s="140">
        <v>30</v>
      </c>
      <c r="J93" s="140">
        <v>38</v>
      </c>
      <c r="K93" s="140">
        <v>50</v>
      </c>
      <c r="L93" s="140">
        <v>92</v>
      </c>
      <c r="M93" s="140">
        <v>2.4</v>
      </c>
      <c r="N93" s="140">
        <v>9</v>
      </c>
      <c r="O93" s="141">
        <v>1.27</v>
      </c>
      <c r="P93" s="141">
        <v>0.25</v>
      </c>
      <c r="Q93" s="140">
        <v>1.8</v>
      </c>
      <c r="R93" s="140">
        <v>0.37</v>
      </c>
      <c r="S93" s="140">
        <v>0.46</v>
      </c>
      <c r="T93" s="140"/>
      <c r="U93" s="111"/>
      <c r="V93" s="111"/>
      <c r="W93" s="109"/>
      <c r="X93" s="109"/>
      <c r="Y93" s="109"/>
      <c r="Z93" s="112"/>
      <c r="AA93" s="110"/>
      <c r="AB93" s="110"/>
    </row>
    <row r="94" spans="1:28" ht="16.5" customHeight="1">
      <c r="A94" s="140" t="s">
        <v>342</v>
      </c>
      <c r="B94" s="140">
        <v>92</v>
      </c>
      <c r="C94" s="140">
        <v>71</v>
      </c>
      <c r="D94" s="140">
        <v>74</v>
      </c>
      <c r="E94" s="140">
        <v>46</v>
      </c>
      <c r="F94" s="140">
        <v>73</v>
      </c>
      <c r="G94" s="140">
        <v>21</v>
      </c>
      <c r="H94" s="140">
        <v>56</v>
      </c>
      <c r="I94" s="140">
        <v>12</v>
      </c>
      <c r="J94" s="140">
        <v>22</v>
      </c>
      <c r="K94" s="140">
        <v>56</v>
      </c>
      <c r="L94" s="140">
        <v>23</v>
      </c>
      <c r="M94" s="140">
        <v>6.7</v>
      </c>
      <c r="N94" s="140">
        <v>7</v>
      </c>
      <c r="O94" s="141">
        <v>0.63</v>
      </c>
      <c r="P94" s="141">
        <v>0.21</v>
      </c>
      <c r="Q94" s="140">
        <v>0.6</v>
      </c>
      <c r="R94" s="140">
        <v>0.33</v>
      </c>
      <c r="S94" s="140">
        <v>0.04</v>
      </c>
      <c r="T94" s="140"/>
      <c r="U94" s="111"/>
      <c r="V94" s="111"/>
      <c r="W94" s="109"/>
      <c r="X94" s="109"/>
      <c r="Y94" s="109"/>
      <c r="Z94" s="112"/>
      <c r="AA94" s="110"/>
      <c r="AB94" s="110"/>
    </row>
    <row r="95" spans="1:28" ht="16.5" customHeight="1">
      <c r="A95" s="140" t="s">
        <v>343</v>
      </c>
      <c r="B95" s="140">
        <v>88</v>
      </c>
      <c r="C95" s="140">
        <v>20</v>
      </c>
      <c r="D95" s="140">
        <v>36</v>
      </c>
      <c r="E95" s="140">
        <v>0</v>
      </c>
      <c r="F95" s="140">
        <v>16</v>
      </c>
      <c r="G95" s="140">
        <v>13</v>
      </c>
      <c r="H95" s="140"/>
      <c r="I95" s="140">
        <v>41</v>
      </c>
      <c r="J95" s="140">
        <v>68</v>
      </c>
      <c r="K95" s="140">
        <v>77</v>
      </c>
      <c r="L95" s="140">
        <v>10</v>
      </c>
      <c r="M95" s="140">
        <v>15</v>
      </c>
      <c r="N95" s="140">
        <v>2</v>
      </c>
      <c r="O95" s="141">
        <v>0.1</v>
      </c>
      <c r="P95" s="141">
        <v>0.08</v>
      </c>
      <c r="Q95" s="140"/>
      <c r="R95" s="140"/>
      <c r="S95" s="140"/>
      <c r="T95" s="140"/>
      <c r="U95" s="111"/>
      <c r="V95" s="111"/>
      <c r="W95" s="109"/>
      <c r="X95" s="109"/>
      <c r="Y95" s="109"/>
      <c r="Z95" s="112"/>
      <c r="AA95" s="110"/>
      <c r="AB95" s="110"/>
    </row>
    <row r="96" spans="1:28" ht="16.5" customHeight="1">
      <c r="A96" s="140" t="s">
        <v>133</v>
      </c>
      <c r="B96" s="140">
        <v>68</v>
      </c>
      <c r="C96" s="140">
        <v>23</v>
      </c>
      <c r="D96" s="140">
        <v>25</v>
      </c>
      <c r="E96" s="140">
        <v>15</v>
      </c>
      <c r="F96" s="140"/>
      <c r="G96" s="140">
        <v>10</v>
      </c>
      <c r="H96" s="140"/>
      <c r="I96" s="140">
        <v>0</v>
      </c>
      <c r="J96" s="140">
        <v>0</v>
      </c>
      <c r="K96" s="140">
        <v>0</v>
      </c>
      <c r="L96" s="140">
        <v>0</v>
      </c>
      <c r="M96" s="140">
        <v>0.1</v>
      </c>
      <c r="N96" s="140"/>
      <c r="O96" s="141">
        <v>10</v>
      </c>
      <c r="P96" s="141">
        <v>1</v>
      </c>
      <c r="Q96" s="140">
        <v>2.5</v>
      </c>
      <c r="R96" s="140"/>
      <c r="S96" s="140">
        <v>0.6</v>
      </c>
      <c r="T96" s="140"/>
      <c r="U96" s="111"/>
      <c r="V96" s="111"/>
      <c r="W96" s="109"/>
      <c r="X96" s="109"/>
      <c r="Y96" s="109"/>
      <c r="Z96" s="112"/>
      <c r="AA96" s="110"/>
      <c r="AB96" s="110"/>
    </row>
    <row r="97" spans="1:28" ht="16.5" customHeight="1">
      <c r="A97" s="140" t="s">
        <v>134</v>
      </c>
      <c r="B97" s="140">
        <v>68</v>
      </c>
      <c r="C97" s="140">
        <v>16</v>
      </c>
      <c r="D97" s="140">
        <v>18</v>
      </c>
      <c r="E97" s="140">
        <v>11</v>
      </c>
      <c r="F97" s="140"/>
      <c r="G97" s="140">
        <v>28</v>
      </c>
      <c r="H97" s="140"/>
      <c r="I97" s="140">
        <v>0</v>
      </c>
      <c r="J97" s="140">
        <v>0</v>
      </c>
      <c r="K97" s="140">
        <v>0</v>
      </c>
      <c r="L97" s="140">
        <v>0</v>
      </c>
      <c r="M97" s="140">
        <v>0.1</v>
      </c>
      <c r="N97" s="140"/>
      <c r="O97" s="141">
        <v>7</v>
      </c>
      <c r="P97" s="141">
        <v>1</v>
      </c>
      <c r="Q97" s="140">
        <v>2.5</v>
      </c>
      <c r="R97" s="140"/>
      <c r="S97" s="140">
        <v>0.6</v>
      </c>
      <c r="T97" s="140"/>
      <c r="U97" s="111"/>
      <c r="V97" s="111"/>
      <c r="W97" s="109"/>
      <c r="X97" s="109"/>
      <c r="Y97" s="109"/>
      <c r="Z97" s="112"/>
      <c r="AA97" s="110"/>
      <c r="AB97" s="110"/>
    </row>
    <row r="98" spans="1:28" ht="16.5" customHeight="1">
      <c r="A98" s="140" t="s">
        <v>135</v>
      </c>
      <c r="B98" s="140">
        <v>68</v>
      </c>
      <c r="C98" s="140">
        <v>42</v>
      </c>
      <c r="D98" s="140">
        <v>46</v>
      </c>
      <c r="E98" s="140">
        <v>29</v>
      </c>
      <c r="F98" s="140"/>
      <c r="G98" s="140">
        <v>32</v>
      </c>
      <c r="H98" s="140"/>
      <c r="I98" s="140">
        <v>0</v>
      </c>
      <c r="J98" s="140">
        <v>0</v>
      </c>
      <c r="K98" s="140">
        <v>0</v>
      </c>
      <c r="L98" s="140">
        <v>0</v>
      </c>
      <c r="M98" s="140">
        <v>0.1</v>
      </c>
      <c r="N98" s="140"/>
      <c r="O98" s="141">
        <v>7</v>
      </c>
      <c r="P98" s="141">
        <v>1</v>
      </c>
      <c r="Q98" s="140">
        <v>2.5</v>
      </c>
      <c r="R98" s="140"/>
      <c r="S98" s="140">
        <v>0.6</v>
      </c>
      <c r="T98" s="140"/>
      <c r="U98" s="111"/>
      <c r="V98" s="111"/>
      <c r="W98" s="109"/>
      <c r="X98" s="109"/>
      <c r="Y98" s="109"/>
      <c r="Z98" s="112"/>
      <c r="AA98" s="110"/>
      <c r="AB98" s="110"/>
    </row>
    <row r="99" spans="1:28" ht="16.5" customHeight="1">
      <c r="A99" s="140" t="s">
        <v>136</v>
      </c>
      <c r="B99" s="140">
        <v>68</v>
      </c>
      <c r="C99" s="140">
        <v>20</v>
      </c>
      <c r="D99" s="140">
        <v>21</v>
      </c>
      <c r="E99" s="140">
        <v>13</v>
      </c>
      <c r="F99" s="140"/>
      <c r="G99" s="140">
        <v>40</v>
      </c>
      <c r="H99" s="140"/>
      <c r="I99" s="140">
        <v>0</v>
      </c>
      <c r="J99" s="140">
        <v>0</v>
      </c>
      <c r="K99" s="140">
        <v>0</v>
      </c>
      <c r="L99" s="140">
        <v>0</v>
      </c>
      <c r="M99" s="140">
        <v>0.1</v>
      </c>
      <c r="N99" s="140"/>
      <c r="O99" s="141">
        <v>7</v>
      </c>
      <c r="P99" s="141">
        <v>1</v>
      </c>
      <c r="Q99" s="140">
        <v>2.5</v>
      </c>
      <c r="R99" s="140"/>
      <c r="S99" s="140">
        <v>0.6</v>
      </c>
      <c r="T99" s="140"/>
      <c r="U99" s="111"/>
      <c r="V99" s="111"/>
      <c r="W99" s="109"/>
      <c r="X99" s="109"/>
      <c r="Y99" s="109"/>
      <c r="Z99" s="112"/>
      <c r="AA99" s="110"/>
      <c r="AB99" s="110"/>
    </row>
    <row r="100" spans="1:28" ht="16.5" customHeight="1">
      <c r="A100" s="140" t="s">
        <v>137</v>
      </c>
      <c r="B100" s="140">
        <v>68</v>
      </c>
      <c r="C100" s="140">
        <v>16</v>
      </c>
      <c r="D100" s="140">
        <v>17</v>
      </c>
      <c r="E100" s="140">
        <v>11</v>
      </c>
      <c r="F100" s="140"/>
      <c r="G100" s="140">
        <v>50</v>
      </c>
      <c r="H100" s="140"/>
      <c r="I100" s="140">
        <v>0</v>
      </c>
      <c r="J100" s="140">
        <v>0</v>
      </c>
      <c r="K100" s="140">
        <v>0</v>
      </c>
      <c r="L100" s="140">
        <v>0</v>
      </c>
      <c r="M100" s="140">
        <v>0.1</v>
      </c>
      <c r="N100" s="140"/>
      <c r="O100" s="141">
        <v>7</v>
      </c>
      <c r="P100" s="141">
        <v>1</v>
      </c>
      <c r="Q100" s="140">
        <v>2.5</v>
      </c>
      <c r="R100" s="140"/>
      <c r="S100" s="140">
        <v>0.6</v>
      </c>
      <c r="T100" s="140"/>
      <c r="U100" s="111"/>
      <c r="V100" s="111"/>
      <c r="W100" s="109"/>
      <c r="X100" s="109"/>
      <c r="Y100" s="109"/>
      <c r="Z100" s="112"/>
      <c r="AA100" s="110"/>
      <c r="AB100" s="110"/>
    </row>
    <row r="101" spans="1:28" ht="16.5" customHeight="1">
      <c r="A101" s="140" t="s">
        <v>138</v>
      </c>
      <c r="B101" s="140">
        <v>97</v>
      </c>
      <c r="C101" s="140">
        <v>0</v>
      </c>
      <c r="D101" s="140">
        <v>0</v>
      </c>
      <c r="E101" s="140">
        <v>0</v>
      </c>
      <c r="F101" s="140">
        <v>0</v>
      </c>
      <c r="G101" s="140">
        <v>0</v>
      </c>
      <c r="H101" s="140">
        <v>0</v>
      </c>
      <c r="I101" s="140">
        <v>0</v>
      </c>
      <c r="J101" s="140">
        <v>0</v>
      </c>
      <c r="K101" s="140">
        <v>0</v>
      </c>
      <c r="L101" s="140">
        <v>0</v>
      </c>
      <c r="M101" s="140">
        <v>0</v>
      </c>
      <c r="N101" s="140">
        <v>95</v>
      </c>
      <c r="O101" s="141">
        <v>16</v>
      </c>
      <c r="P101" s="141">
        <v>16</v>
      </c>
      <c r="Q101" s="140">
        <v>0.1</v>
      </c>
      <c r="R101" s="140"/>
      <c r="S101" s="140">
        <v>0.9</v>
      </c>
      <c r="T101" s="140">
        <v>2500</v>
      </c>
      <c r="U101" s="111"/>
      <c r="V101" s="111"/>
      <c r="W101" s="109"/>
      <c r="X101" s="109"/>
      <c r="Y101" s="109"/>
      <c r="Z101" s="112"/>
      <c r="AA101" s="110"/>
      <c r="AB101" s="110"/>
    </row>
    <row r="102" spans="1:28" ht="16.5" customHeight="1">
      <c r="A102" s="140" t="s">
        <v>139</v>
      </c>
      <c r="B102" s="140">
        <v>97</v>
      </c>
      <c r="C102" s="140">
        <v>0</v>
      </c>
      <c r="D102" s="140">
        <v>0</v>
      </c>
      <c r="E102" s="140">
        <v>0</v>
      </c>
      <c r="F102" s="140">
        <v>0</v>
      </c>
      <c r="G102" s="140">
        <v>0</v>
      </c>
      <c r="H102" s="140">
        <v>0</v>
      </c>
      <c r="I102" s="140">
        <v>0</v>
      </c>
      <c r="J102" s="140">
        <v>0</v>
      </c>
      <c r="K102" s="140">
        <v>0</v>
      </c>
      <c r="L102" s="140">
        <v>0</v>
      </c>
      <c r="M102" s="140">
        <v>0</v>
      </c>
      <c r="N102" s="140">
        <v>95</v>
      </c>
      <c r="O102" s="141">
        <v>8</v>
      </c>
      <c r="P102" s="141">
        <v>16</v>
      </c>
      <c r="Q102" s="140">
        <v>0.1</v>
      </c>
      <c r="R102" s="140"/>
      <c r="S102" s="140">
        <v>0.9</v>
      </c>
      <c r="T102" s="140">
        <v>2500</v>
      </c>
      <c r="U102" s="111"/>
      <c r="V102" s="111"/>
      <c r="W102" s="109"/>
      <c r="X102" s="109"/>
      <c r="Y102" s="109"/>
      <c r="Z102" s="112"/>
      <c r="AA102" s="110"/>
      <c r="AB102" s="110"/>
    </row>
    <row r="103" spans="1:28" ht="16.5" customHeight="1">
      <c r="A103" s="140" t="s">
        <v>140</v>
      </c>
      <c r="B103" s="140">
        <v>97</v>
      </c>
      <c r="C103" s="140">
        <v>0</v>
      </c>
      <c r="D103" s="140">
        <v>0</v>
      </c>
      <c r="E103" s="140">
        <v>0</v>
      </c>
      <c r="F103" s="140">
        <v>0</v>
      </c>
      <c r="G103" s="140">
        <v>0</v>
      </c>
      <c r="H103" s="140">
        <v>0</v>
      </c>
      <c r="I103" s="140">
        <v>0</v>
      </c>
      <c r="J103" s="140">
        <v>0</v>
      </c>
      <c r="K103" s="140">
        <v>0</v>
      </c>
      <c r="L103" s="140">
        <v>0</v>
      </c>
      <c r="M103" s="140">
        <v>0</v>
      </c>
      <c r="N103" s="140">
        <v>95</v>
      </c>
      <c r="O103" s="141">
        <v>20</v>
      </c>
      <c r="P103" s="141">
        <v>10</v>
      </c>
      <c r="Q103" s="140">
        <v>0.1</v>
      </c>
      <c r="R103" s="140"/>
      <c r="S103" s="140">
        <v>0.9</v>
      </c>
      <c r="T103" s="140">
        <v>2500</v>
      </c>
      <c r="U103" s="111"/>
      <c r="V103" s="111"/>
      <c r="W103" s="109"/>
      <c r="X103" s="109"/>
      <c r="Y103" s="109"/>
      <c r="Z103" s="112"/>
      <c r="AA103" s="110"/>
      <c r="AB103" s="110"/>
    </row>
    <row r="104" spans="1:28" ht="16.5" customHeight="1">
      <c r="A104" s="140" t="s">
        <v>141</v>
      </c>
      <c r="B104" s="140">
        <v>97</v>
      </c>
      <c r="C104" s="140">
        <v>0</v>
      </c>
      <c r="D104" s="140">
        <v>0</v>
      </c>
      <c r="E104" s="140">
        <v>0</v>
      </c>
      <c r="F104" s="140">
        <v>0</v>
      </c>
      <c r="G104" s="140">
        <v>0</v>
      </c>
      <c r="H104" s="140">
        <v>0</v>
      </c>
      <c r="I104" s="140">
        <v>0</v>
      </c>
      <c r="J104" s="140">
        <v>0</v>
      </c>
      <c r="K104" s="140">
        <v>0</v>
      </c>
      <c r="L104" s="140">
        <v>0</v>
      </c>
      <c r="M104" s="140">
        <v>0</v>
      </c>
      <c r="N104" s="140">
        <v>95</v>
      </c>
      <c r="O104" s="141">
        <v>24</v>
      </c>
      <c r="P104" s="141">
        <v>4</v>
      </c>
      <c r="Q104" s="140">
        <v>0.1</v>
      </c>
      <c r="R104" s="140"/>
      <c r="S104" s="140">
        <v>0.9</v>
      </c>
      <c r="T104" s="140">
        <v>2500</v>
      </c>
      <c r="U104" s="111"/>
      <c r="V104" s="111"/>
      <c r="W104" s="109"/>
      <c r="X104" s="109"/>
      <c r="Y104" s="109"/>
      <c r="Z104" s="112"/>
      <c r="AA104" s="110"/>
      <c r="AB104" s="110"/>
    </row>
    <row r="105" spans="1:28" ht="16.5" customHeight="1">
      <c r="A105" s="140" t="s">
        <v>142</v>
      </c>
      <c r="B105" s="140">
        <v>97</v>
      </c>
      <c r="C105" s="140">
        <v>0</v>
      </c>
      <c r="D105" s="140">
        <v>0</v>
      </c>
      <c r="E105" s="140">
        <v>0</v>
      </c>
      <c r="F105" s="140">
        <v>0</v>
      </c>
      <c r="G105" s="140">
        <v>0</v>
      </c>
      <c r="H105" s="140">
        <v>0</v>
      </c>
      <c r="I105" s="140">
        <v>0</v>
      </c>
      <c r="J105" s="140">
        <v>0</v>
      </c>
      <c r="K105" s="140">
        <v>0</v>
      </c>
      <c r="L105" s="140">
        <v>0</v>
      </c>
      <c r="M105" s="140">
        <v>0</v>
      </c>
      <c r="N105" s="140">
        <v>95</v>
      </c>
      <c r="O105" s="141">
        <v>1</v>
      </c>
      <c r="P105" s="141">
        <v>22</v>
      </c>
      <c r="Q105" s="140">
        <v>0.1</v>
      </c>
      <c r="R105" s="140"/>
      <c r="S105" s="140">
        <v>0.9</v>
      </c>
      <c r="T105" s="140">
        <v>2500</v>
      </c>
      <c r="U105" s="111"/>
      <c r="V105" s="111"/>
      <c r="W105" s="109"/>
      <c r="X105" s="109"/>
      <c r="Y105" s="109"/>
      <c r="Z105" s="112"/>
      <c r="AA105" s="110"/>
      <c r="AB105" s="110"/>
    </row>
    <row r="106" spans="1:28" ht="16.5" customHeight="1">
      <c r="A106" s="140" t="s">
        <v>143</v>
      </c>
      <c r="B106" s="140">
        <v>91</v>
      </c>
      <c r="C106" s="140">
        <v>54</v>
      </c>
      <c r="D106" s="140">
        <v>57</v>
      </c>
      <c r="E106" s="140">
        <v>36</v>
      </c>
      <c r="F106" s="140"/>
      <c r="G106" s="140">
        <v>32</v>
      </c>
      <c r="H106" s="140">
        <v>36</v>
      </c>
      <c r="I106" s="140">
        <v>8</v>
      </c>
      <c r="J106" s="140">
        <v>10</v>
      </c>
      <c r="K106" s="140">
        <v>15</v>
      </c>
      <c r="L106" s="140">
        <v>23</v>
      </c>
      <c r="M106" s="140">
        <v>1</v>
      </c>
      <c r="N106" s="140"/>
      <c r="O106" s="141">
        <v>6</v>
      </c>
      <c r="P106" s="141">
        <v>1</v>
      </c>
      <c r="Q106" s="140">
        <v>0.75</v>
      </c>
      <c r="R106" s="140"/>
      <c r="S106" s="140">
        <v>0.35</v>
      </c>
      <c r="T106" s="140"/>
      <c r="U106" s="111"/>
      <c r="V106" s="111"/>
      <c r="W106" s="109"/>
      <c r="X106" s="109"/>
      <c r="Y106" s="109"/>
      <c r="Z106" s="112"/>
      <c r="AA106" s="110"/>
      <c r="AB106" s="110"/>
    </row>
    <row r="107" spans="1:28" ht="16.5" customHeight="1">
      <c r="A107" s="140" t="s">
        <v>144</v>
      </c>
      <c r="B107" s="140">
        <v>91</v>
      </c>
      <c r="C107" s="140">
        <v>55</v>
      </c>
      <c r="D107" s="140">
        <v>60</v>
      </c>
      <c r="E107" s="140">
        <v>40</v>
      </c>
      <c r="F107" s="140"/>
      <c r="G107" s="140">
        <v>40</v>
      </c>
      <c r="H107" s="140">
        <v>36</v>
      </c>
      <c r="I107" s="140">
        <v>6</v>
      </c>
      <c r="J107" s="140">
        <v>10</v>
      </c>
      <c r="K107" s="140">
        <v>15</v>
      </c>
      <c r="L107" s="140">
        <v>23</v>
      </c>
      <c r="M107" s="140">
        <v>1</v>
      </c>
      <c r="N107" s="140"/>
      <c r="O107" s="141">
        <v>6</v>
      </c>
      <c r="P107" s="141">
        <v>1</v>
      </c>
      <c r="Q107" s="140">
        <v>0.75</v>
      </c>
      <c r="R107" s="140"/>
      <c r="S107" s="140">
        <v>0.35</v>
      </c>
      <c r="T107" s="140"/>
      <c r="U107" s="111"/>
      <c r="V107" s="111"/>
      <c r="W107" s="109"/>
      <c r="X107" s="109"/>
      <c r="Y107" s="109"/>
      <c r="Z107" s="112"/>
      <c r="AA107" s="110"/>
      <c r="AB107" s="110"/>
    </row>
    <row r="108" spans="1:28" ht="16.5" customHeight="1">
      <c r="A108" s="140" t="s">
        <v>145</v>
      </c>
      <c r="B108" s="140">
        <v>91</v>
      </c>
      <c r="C108" s="140">
        <v>48</v>
      </c>
      <c r="D108" s="140">
        <v>45</v>
      </c>
      <c r="E108" s="140">
        <v>28</v>
      </c>
      <c r="F108" s="140"/>
      <c r="G108" s="140">
        <v>40</v>
      </c>
      <c r="H108" s="140">
        <v>35</v>
      </c>
      <c r="I108" s="140">
        <v>8</v>
      </c>
      <c r="J108" s="140">
        <v>10</v>
      </c>
      <c r="K108" s="140">
        <v>15</v>
      </c>
      <c r="L108" s="140">
        <v>23</v>
      </c>
      <c r="M108" s="140">
        <v>1</v>
      </c>
      <c r="N108" s="140"/>
      <c r="O108" s="141">
        <v>6</v>
      </c>
      <c r="P108" s="141">
        <v>1</v>
      </c>
      <c r="Q108" s="140">
        <v>0.75</v>
      </c>
      <c r="R108" s="140"/>
      <c r="S108" s="140">
        <v>0.35</v>
      </c>
      <c r="T108" s="140"/>
      <c r="U108" s="111"/>
      <c r="V108" s="111"/>
      <c r="W108" s="109"/>
      <c r="X108" s="109"/>
      <c r="Y108" s="109"/>
      <c r="Z108" s="112"/>
      <c r="AA108" s="110"/>
      <c r="AB108" s="110"/>
    </row>
    <row r="109" spans="1:28" ht="16.5" customHeight="1">
      <c r="A109" s="140" t="s">
        <v>146</v>
      </c>
      <c r="B109" s="140">
        <v>91</v>
      </c>
      <c r="C109" s="140">
        <v>47</v>
      </c>
      <c r="D109" s="140">
        <v>46</v>
      </c>
      <c r="E109" s="140">
        <v>28</v>
      </c>
      <c r="F109" s="140"/>
      <c r="G109" s="140">
        <v>50</v>
      </c>
      <c r="H109" s="140">
        <v>35</v>
      </c>
      <c r="I109" s="140">
        <v>8</v>
      </c>
      <c r="J109" s="140">
        <v>10</v>
      </c>
      <c r="K109" s="140">
        <v>15</v>
      </c>
      <c r="L109" s="140">
        <v>23</v>
      </c>
      <c r="M109" s="140">
        <v>1</v>
      </c>
      <c r="N109" s="140"/>
      <c r="O109" s="141">
        <v>6</v>
      </c>
      <c r="P109" s="141">
        <v>1</v>
      </c>
      <c r="Q109" s="140">
        <v>0.75</v>
      </c>
      <c r="R109" s="140"/>
      <c r="S109" s="140">
        <v>0.35</v>
      </c>
      <c r="T109" s="140"/>
      <c r="U109" s="111"/>
      <c r="V109" s="111"/>
      <c r="W109" s="109"/>
      <c r="X109" s="109"/>
      <c r="Y109" s="109"/>
      <c r="Z109" s="112"/>
      <c r="AA109" s="110"/>
      <c r="AB109" s="110"/>
    </row>
    <row r="110" spans="1:28" ht="16.5" customHeight="1">
      <c r="A110" s="140" t="s">
        <v>147</v>
      </c>
      <c r="B110" s="140">
        <v>91</v>
      </c>
      <c r="C110" s="140">
        <v>32</v>
      </c>
      <c r="D110" s="140">
        <v>32</v>
      </c>
      <c r="E110" s="140">
        <v>20</v>
      </c>
      <c r="F110" s="140"/>
      <c r="G110" s="140">
        <v>60</v>
      </c>
      <c r="H110" s="140">
        <v>34</v>
      </c>
      <c r="I110" s="140">
        <v>6</v>
      </c>
      <c r="J110" s="140">
        <v>10</v>
      </c>
      <c r="K110" s="140">
        <v>15</v>
      </c>
      <c r="L110" s="140">
        <v>23</v>
      </c>
      <c r="M110" s="140">
        <v>1</v>
      </c>
      <c r="N110" s="140"/>
      <c r="O110" s="141">
        <v>6</v>
      </c>
      <c r="P110" s="141">
        <v>1</v>
      </c>
      <c r="Q110" s="140">
        <v>0.75</v>
      </c>
      <c r="R110" s="140"/>
      <c r="S110" s="140">
        <v>0.35</v>
      </c>
      <c r="T110" s="140"/>
      <c r="U110" s="111"/>
      <c r="V110" s="111"/>
      <c r="W110" s="109"/>
      <c r="X110" s="109"/>
      <c r="Y110" s="109"/>
      <c r="Z110" s="112"/>
      <c r="AA110" s="110"/>
      <c r="AB110" s="110"/>
    </row>
    <row r="111" spans="1:28" ht="16.5" customHeight="1">
      <c r="A111" s="140" t="s">
        <v>148</v>
      </c>
      <c r="B111" s="140">
        <v>87</v>
      </c>
      <c r="C111" s="140">
        <v>82</v>
      </c>
      <c r="D111" s="140">
        <v>89</v>
      </c>
      <c r="E111" s="140">
        <v>59</v>
      </c>
      <c r="F111" s="140">
        <v>85</v>
      </c>
      <c r="G111" s="140">
        <v>9</v>
      </c>
      <c r="H111" s="140">
        <v>52</v>
      </c>
      <c r="I111" s="140">
        <v>9</v>
      </c>
      <c r="J111" s="140">
        <v>10</v>
      </c>
      <c r="K111" s="140">
        <v>26</v>
      </c>
      <c r="L111" s="140">
        <v>56</v>
      </c>
      <c r="M111" s="140">
        <v>3.7</v>
      </c>
      <c r="N111" s="140">
        <v>2</v>
      </c>
      <c r="O111" s="141">
        <v>0.06</v>
      </c>
      <c r="P111" s="141">
        <v>0.28</v>
      </c>
      <c r="Q111" s="140">
        <v>0.5</v>
      </c>
      <c r="R111" s="140">
        <v>0.05</v>
      </c>
      <c r="S111" s="140">
        <v>0.13</v>
      </c>
      <c r="T111" s="140">
        <v>16</v>
      </c>
      <c r="U111" s="111"/>
      <c r="V111" s="111"/>
      <c r="W111" s="109"/>
      <c r="X111" s="109"/>
      <c r="Y111" s="109"/>
      <c r="Z111" s="112"/>
      <c r="AA111" s="110"/>
      <c r="AB111" s="110"/>
    </row>
    <row r="112" spans="1:28" ht="16.5" customHeight="1">
      <c r="A112" s="140" t="s">
        <v>344</v>
      </c>
      <c r="B112" s="140">
        <v>91</v>
      </c>
      <c r="C112" s="140">
        <v>76</v>
      </c>
      <c r="D112" s="140">
        <v>81</v>
      </c>
      <c r="E112" s="140">
        <v>52</v>
      </c>
      <c r="F112" s="140">
        <v>78</v>
      </c>
      <c r="G112" s="140">
        <v>11</v>
      </c>
      <c r="H112" s="140"/>
      <c r="I112" s="140">
        <v>10</v>
      </c>
      <c r="J112" s="140">
        <v>17</v>
      </c>
      <c r="K112" s="140">
        <v>51</v>
      </c>
      <c r="L112" s="140">
        <v>0</v>
      </c>
      <c r="M112" s="140">
        <v>6.3</v>
      </c>
      <c r="N112" s="140">
        <v>3</v>
      </c>
      <c r="O112" s="141">
        <v>0.04</v>
      </c>
      <c r="P112" s="141">
        <v>0.15</v>
      </c>
      <c r="Q112" s="140">
        <v>0.1</v>
      </c>
      <c r="R112" s="140">
        <v>0.13</v>
      </c>
      <c r="S112" s="140">
        <v>0.08</v>
      </c>
      <c r="T112" s="140">
        <v>18</v>
      </c>
      <c r="U112" s="111"/>
      <c r="V112" s="111"/>
      <c r="W112" s="109"/>
      <c r="X112" s="109"/>
      <c r="Y112" s="109"/>
      <c r="Z112" s="112"/>
      <c r="AA112" s="110"/>
      <c r="AB112" s="110"/>
    </row>
    <row r="113" spans="1:28" ht="16.5" customHeight="1">
      <c r="A113" s="140" t="s">
        <v>345</v>
      </c>
      <c r="B113" s="140">
        <v>29</v>
      </c>
      <c r="C113" s="140">
        <v>68</v>
      </c>
      <c r="D113" s="140">
        <v>70</v>
      </c>
      <c r="E113" s="140">
        <v>41</v>
      </c>
      <c r="F113" s="140">
        <v>69</v>
      </c>
      <c r="G113" s="140">
        <v>8</v>
      </c>
      <c r="H113" s="140">
        <v>15</v>
      </c>
      <c r="I113" s="140">
        <v>28</v>
      </c>
      <c r="J113" s="140">
        <v>36</v>
      </c>
      <c r="K113" s="140">
        <v>59</v>
      </c>
      <c r="L113" s="140">
        <v>0</v>
      </c>
      <c r="M113" s="140">
        <v>3</v>
      </c>
      <c r="N113" s="140">
        <v>5</v>
      </c>
      <c r="O113" s="141">
        <v>0.1</v>
      </c>
      <c r="P113" s="141">
        <v>0.29</v>
      </c>
      <c r="Q113" s="140">
        <v>1</v>
      </c>
      <c r="R113" s="140"/>
      <c r="S113" s="140">
        <v>0.13</v>
      </c>
      <c r="T113" s="140">
        <v>25</v>
      </c>
      <c r="U113" s="111"/>
      <c r="V113" s="111"/>
      <c r="W113" s="109"/>
      <c r="X113" s="109"/>
      <c r="Y113" s="109"/>
      <c r="Z113" s="112"/>
      <c r="AA113" s="110"/>
      <c r="AB113" s="110"/>
    </row>
    <row r="114" spans="1:28" ht="16.5" customHeight="1">
      <c r="A114" s="140" t="s">
        <v>346</v>
      </c>
      <c r="B114" s="140">
        <v>90</v>
      </c>
      <c r="C114" s="140">
        <v>48</v>
      </c>
      <c r="D114" s="140">
        <v>48</v>
      </c>
      <c r="E114" s="140">
        <v>9</v>
      </c>
      <c r="F114" s="140">
        <v>47</v>
      </c>
      <c r="G114" s="140">
        <v>3</v>
      </c>
      <c r="H114" s="140">
        <v>70</v>
      </c>
      <c r="I114" s="140">
        <v>36</v>
      </c>
      <c r="J114" s="140">
        <v>39</v>
      </c>
      <c r="K114" s="140">
        <v>88</v>
      </c>
      <c r="L114" s="140">
        <v>56</v>
      </c>
      <c r="M114" s="140">
        <v>0.5</v>
      </c>
      <c r="N114" s="140">
        <v>2</v>
      </c>
      <c r="O114" s="141">
        <v>0.12</v>
      </c>
      <c r="P114" s="141">
        <v>0.04</v>
      </c>
      <c r="Q114" s="140">
        <v>0.8</v>
      </c>
      <c r="R114" s="140"/>
      <c r="S114" s="140">
        <v>0.4</v>
      </c>
      <c r="T114" s="140">
        <v>5</v>
      </c>
      <c r="U114" s="111"/>
      <c r="V114" s="111"/>
      <c r="W114" s="109"/>
      <c r="X114" s="109"/>
      <c r="Y114" s="109"/>
      <c r="Z114" s="112"/>
      <c r="AA114" s="110"/>
      <c r="AB114" s="110"/>
    </row>
    <row r="115" spans="1:28" ht="16.5" customHeight="1">
      <c r="A115" s="140" t="s">
        <v>347</v>
      </c>
      <c r="B115" s="140">
        <v>80</v>
      </c>
      <c r="C115" s="140">
        <v>65</v>
      </c>
      <c r="D115" s="140">
        <v>66</v>
      </c>
      <c r="E115" s="140">
        <v>37</v>
      </c>
      <c r="F115" s="140">
        <v>66</v>
      </c>
      <c r="G115" s="140">
        <v>9</v>
      </c>
      <c r="H115" s="140">
        <v>45</v>
      </c>
      <c r="I115" s="140">
        <v>25</v>
      </c>
      <c r="J115" s="140">
        <v>29</v>
      </c>
      <c r="K115" s="140">
        <v>48</v>
      </c>
      <c r="L115" s="140">
        <v>100</v>
      </c>
      <c r="M115" s="140">
        <v>2.4</v>
      </c>
      <c r="N115" s="140">
        <v>7</v>
      </c>
      <c r="O115" s="141">
        <v>0.5</v>
      </c>
      <c r="P115" s="141">
        <v>0.25</v>
      </c>
      <c r="Q115" s="140">
        <v>0.9</v>
      </c>
      <c r="R115" s="140">
        <v>0.2</v>
      </c>
      <c r="S115" s="140">
        <v>0.14</v>
      </c>
      <c r="T115" s="140"/>
      <c r="U115" s="111"/>
      <c r="V115" s="111"/>
      <c r="W115" s="109"/>
      <c r="X115" s="109"/>
      <c r="Y115" s="109"/>
      <c r="Z115" s="112"/>
      <c r="AA115" s="110"/>
      <c r="AB115" s="110"/>
    </row>
    <row r="116" spans="1:28" ht="16.5" customHeight="1">
      <c r="A116" s="140" t="s">
        <v>149</v>
      </c>
      <c r="B116" s="140">
        <v>90</v>
      </c>
      <c r="C116" s="140">
        <v>80</v>
      </c>
      <c r="D116" s="140">
        <v>86</v>
      </c>
      <c r="E116" s="140">
        <v>56</v>
      </c>
      <c r="F116" s="140">
        <v>83</v>
      </c>
      <c r="G116" s="140">
        <v>22</v>
      </c>
      <c r="H116" s="140">
        <v>25</v>
      </c>
      <c r="I116" s="140">
        <v>9</v>
      </c>
      <c r="J116" s="140">
        <v>12</v>
      </c>
      <c r="K116" s="140">
        <v>38</v>
      </c>
      <c r="L116" s="140">
        <v>36</v>
      </c>
      <c r="M116" s="140">
        <v>3.2</v>
      </c>
      <c r="N116" s="140">
        <v>7</v>
      </c>
      <c r="O116" s="141">
        <v>0.12</v>
      </c>
      <c r="P116" s="141">
        <v>0.85</v>
      </c>
      <c r="Q116" s="140">
        <v>1.3</v>
      </c>
      <c r="R116" s="140">
        <v>0.25</v>
      </c>
      <c r="S116" s="140">
        <v>0.47</v>
      </c>
      <c r="T116" s="140">
        <v>84</v>
      </c>
      <c r="U116" s="111"/>
      <c r="V116" s="111"/>
      <c r="W116" s="109"/>
      <c r="X116" s="109"/>
      <c r="Y116" s="109"/>
      <c r="Z116" s="112"/>
      <c r="AA116" s="110"/>
      <c r="AB116" s="110"/>
    </row>
    <row r="117" spans="1:28" ht="16.5" customHeight="1">
      <c r="A117" s="140" t="s">
        <v>150</v>
      </c>
      <c r="B117" s="140">
        <v>91</v>
      </c>
      <c r="C117" s="140">
        <v>85</v>
      </c>
      <c r="D117" s="140">
        <v>93</v>
      </c>
      <c r="E117" s="140">
        <v>62</v>
      </c>
      <c r="F117" s="140">
        <v>88</v>
      </c>
      <c r="G117" s="140">
        <v>46</v>
      </c>
      <c r="H117" s="140">
        <v>63</v>
      </c>
      <c r="I117" s="140">
        <v>5</v>
      </c>
      <c r="J117" s="140">
        <v>9</v>
      </c>
      <c r="K117" s="140">
        <v>32</v>
      </c>
      <c r="L117" s="140">
        <v>23</v>
      </c>
      <c r="M117" s="140">
        <v>3.2</v>
      </c>
      <c r="N117" s="140">
        <v>3</v>
      </c>
      <c r="O117" s="141">
        <v>0.13</v>
      </c>
      <c r="P117" s="141">
        <v>0.55</v>
      </c>
      <c r="Q117" s="140">
        <v>0.2</v>
      </c>
      <c r="R117" s="140">
        <v>0.07</v>
      </c>
      <c r="S117" s="140">
        <v>0.62</v>
      </c>
      <c r="T117" s="140">
        <v>35</v>
      </c>
      <c r="U117" s="111"/>
      <c r="V117" s="111"/>
      <c r="W117" s="109"/>
      <c r="X117" s="109"/>
      <c r="Y117" s="109"/>
      <c r="Z117" s="112"/>
      <c r="AA117" s="110"/>
      <c r="AB117" s="110"/>
    </row>
    <row r="118" spans="1:28" ht="16.5" customHeight="1">
      <c r="A118" s="140" t="s">
        <v>151</v>
      </c>
      <c r="B118" s="140">
        <v>91</v>
      </c>
      <c r="C118" s="140">
        <v>89</v>
      </c>
      <c r="D118" s="140">
        <v>99</v>
      </c>
      <c r="E118" s="140">
        <v>67</v>
      </c>
      <c r="F118" s="140">
        <v>93</v>
      </c>
      <c r="G118" s="140">
        <v>67</v>
      </c>
      <c r="H118" s="140">
        <v>65</v>
      </c>
      <c r="I118" s="140">
        <v>4</v>
      </c>
      <c r="J118" s="140">
        <v>6</v>
      </c>
      <c r="K118" s="140">
        <v>11</v>
      </c>
      <c r="L118" s="140">
        <v>23</v>
      </c>
      <c r="M118" s="140">
        <v>2.6</v>
      </c>
      <c r="N118" s="140">
        <v>3</v>
      </c>
      <c r="O118" s="141">
        <v>0.06</v>
      </c>
      <c r="P118" s="141">
        <v>0.54</v>
      </c>
      <c r="Q118" s="140">
        <v>0.2</v>
      </c>
      <c r="R118" s="140">
        <v>0.1</v>
      </c>
      <c r="S118" s="140">
        <v>0.9</v>
      </c>
      <c r="T118" s="140">
        <v>40</v>
      </c>
      <c r="U118" s="111"/>
      <c r="V118" s="111"/>
      <c r="W118" s="109"/>
      <c r="X118" s="109"/>
      <c r="Y118" s="109"/>
      <c r="Z118" s="112"/>
      <c r="AA118" s="110"/>
      <c r="AB118" s="110"/>
    </row>
    <row r="119" spans="1:28" ht="16.5" customHeight="1">
      <c r="A119" s="140" t="s">
        <v>607</v>
      </c>
      <c r="B119" s="140">
        <v>74</v>
      </c>
      <c r="C119" s="140">
        <v>93</v>
      </c>
      <c r="D119" s="140">
        <v>104</v>
      </c>
      <c r="E119" s="140">
        <v>71</v>
      </c>
      <c r="F119" s="140">
        <v>97</v>
      </c>
      <c r="G119" s="140">
        <v>10</v>
      </c>
      <c r="H119" s="140">
        <v>42</v>
      </c>
      <c r="I119" s="140">
        <v>2</v>
      </c>
      <c r="J119" s="140">
        <v>3</v>
      </c>
      <c r="K119" s="140">
        <v>9</v>
      </c>
      <c r="L119" s="140">
        <v>0</v>
      </c>
      <c r="M119" s="140">
        <v>4</v>
      </c>
      <c r="N119" s="140">
        <v>2</v>
      </c>
      <c r="O119" s="141">
        <v>0.02</v>
      </c>
      <c r="P119" s="141">
        <v>0.3</v>
      </c>
      <c r="Q119" s="140">
        <v>0.4</v>
      </c>
      <c r="R119" s="140">
        <v>0.06</v>
      </c>
      <c r="S119" s="140">
        <v>0.13</v>
      </c>
      <c r="T119" s="140">
        <v>20</v>
      </c>
      <c r="U119" s="111"/>
      <c r="V119" s="111"/>
      <c r="W119" s="109"/>
      <c r="X119" s="109"/>
      <c r="Y119" s="109"/>
      <c r="Z119" s="112"/>
      <c r="AA119" s="110"/>
      <c r="AB119" s="110"/>
    </row>
    <row r="120" spans="1:28" ht="16.5" customHeight="1">
      <c r="A120" s="140" t="s">
        <v>348</v>
      </c>
      <c r="B120" s="140">
        <v>88</v>
      </c>
      <c r="C120" s="140">
        <v>91</v>
      </c>
      <c r="D120" s="140">
        <v>102</v>
      </c>
      <c r="E120" s="140">
        <v>69</v>
      </c>
      <c r="F120" s="140">
        <v>95</v>
      </c>
      <c r="G120" s="140">
        <v>8</v>
      </c>
      <c r="H120" s="140">
        <v>54</v>
      </c>
      <c r="I120" s="140">
        <v>2</v>
      </c>
      <c r="J120" s="140">
        <v>3</v>
      </c>
      <c r="K120" s="140">
        <v>8</v>
      </c>
      <c r="L120" s="140">
        <v>60</v>
      </c>
      <c r="M120" s="140">
        <v>6.9</v>
      </c>
      <c r="N120" s="140">
        <v>2</v>
      </c>
      <c r="O120" s="141">
        <v>0.01</v>
      </c>
      <c r="P120" s="141">
        <v>0.3</v>
      </c>
      <c r="Q120" s="140">
        <v>0.3</v>
      </c>
      <c r="R120" s="140">
        <v>0.05</v>
      </c>
      <c r="S120" s="140">
        <v>0.13</v>
      </c>
      <c r="T120" s="140">
        <v>18</v>
      </c>
      <c r="U120" s="111"/>
      <c r="V120" s="111"/>
      <c r="W120" s="109"/>
      <c r="X120" s="109"/>
      <c r="Y120" s="109"/>
      <c r="Z120" s="112"/>
      <c r="AA120" s="110"/>
      <c r="AB120" s="110"/>
    </row>
    <row r="121" spans="1:28" ht="16.5" customHeight="1">
      <c r="A121" s="140" t="s">
        <v>608</v>
      </c>
      <c r="B121" s="140">
        <v>92</v>
      </c>
      <c r="C121" s="140">
        <v>87</v>
      </c>
      <c r="D121" s="140">
        <v>96</v>
      </c>
      <c r="E121" s="140">
        <v>64</v>
      </c>
      <c r="F121" s="140">
        <v>90</v>
      </c>
      <c r="G121" s="140">
        <v>12</v>
      </c>
      <c r="H121" s="140">
        <v>58</v>
      </c>
      <c r="I121" s="140">
        <v>4</v>
      </c>
      <c r="J121" s="140">
        <v>4</v>
      </c>
      <c r="K121" s="140">
        <v>11</v>
      </c>
      <c r="L121" s="140">
        <v>60</v>
      </c>
      <c r="M121" s="140">
        <v>4.4</v>
      </c>
      <c r="N121" s="140">
        <v>2</v>
      </c>
      <c r="O121" s="141">
        <v>0.03</v>
      </c>
      <c r="P121" s="141">
        <v>0.24</v>
      </c>
      <c r="Q121" s="140">
        <v>0.4</v>
      </c>
      <c r="R121" s="140">
        <v>0.05</v>
      </c>
      <c r="S121" s="140">
        <v>0.11</v>
      </c>
      <c r="T121" s="140">
        <v>18</v>
      </c>
      <c r="U121" s="111"/>
      <c r="V121" s="111"/>
      <c r="W121" s="109"/>
      <c r="X121" s="109"/>
      <c r="Y121" s="109"/>
      <c r="Z121" s="112"/>
      <c r="AA121" s="110"/>
      <c r="AB121" s="110"/>
    </row>
    <row r="122" spans="1:28" ht="16.5" customHeight="1">
      <c r="A122" s="140" t="s">
        <v>609</v>
      </c>
      <c r="B122" s="140">
        <v>88</v>
      </c>
      <c r="C122" s="140">
        <v>88</v>
      </c>
      <c r="D122" s="140">
        <v>98</v>
      </c>
      <c r="E122" s="140">
        <v>65</v>
      </c>
      <c r="F122" s="140">
        <v>91</v>
      </c>
      <c r="G122" s="140">
        <v>9</v>
      </c>
      <c r="H122" s="140">
        <v>54</v>
      </c>
      <c r="I122" s="140">
        <v>2</v>
      </c>
      <c r="J122" s="140">
        <v>3</v>
      </c>
      <c r="K122" s="140">
        <v>9</v>
      </c>
      <c r="L122" s="140">
        <v>34</v>
      </c>
      <c r="M122" s="140">
        <v>4.3</v>
      </c>
      <c r="N122" s="140">
        <v>2</v>
      </c>
      <c r="O122" s="141">
        <v>0.02</v>
      </c>
      <c r="P122" s="141">
        <v>0.3</v>
      </c>
      <c r="Q122" s="140">
        <v>0.4</v>
      </c>
      <c r="R122" s="140">
        <v>0.05</v>
      </c>
      <c r="S122" s="140">
        <v>0.13</v>
      </c>
      <c r="T122" s="140">
        <v>18</v>
      </c>
      <c r="U122" s="111"/>
      <c r="V122" s="111"/>
      <c r="W122" s="109"/>
      <c r="X122" s="109"/>
      <c r="Y122" s="109"/>
      <c r="Z122" s="112"/>
      <c r="AA122" s="110"/>
      <c r="AB122" s="110"/>
    </row>
    <row r="123" spans="1:28" ht="16.5" customHeight="1">
      <c r="A123" s="140" t="s">
        <v>349</v>
      </c>
      <c r="B123" s="140">
        <v>85</v>
      </c>
      <c r="C123" s="140">
        <v>93</v>
      </c>
      <c r="D123" s="140">
        <v>104</v>
      </c>
      <c r="E123" s="140">
        <v>71</v>
      </c>
      <c r="F123" s="140">
        <v>97</v>
      </c>
      <c r="G123" s="140">
        <v>9</v>
      </c>
      <c r="H123" s="140">
        <v>59</v>
      </c>
      <c r="I123" s="140">
        <v>2</v>
      </c>
      <c r="J123" s="140">
        <v>3</v>
      </c>
      <c r="K123" s="140">
        <v>9</v>
      </c>
      <c r="L123" s="140">
        <v>40</v>
      </c>
      <c r="M123" s="140">
        <v>4.1</v>
      </c>
      <c r="N123" s="140">
        <v>2</v>
      </c>
      <c r="O123" s="141">
        <v>0.02</v>
      </c>
      <c r="P123" s="141">
        <v>0.27</v>
      </c>
      <c r="Q123" s="140">
        <v>0.4</v>
      </c>
      <c r="R123" s="140">
        <v>0.05</v>
      </c>
      <c r="S123" s="140">
        <v>0.13</v>
      </c>
      <c r="T123" s="140">
        <v>18</v>
      </c>
      <c r="U123" s="111"/>
      <c r="V123" s="111"/>
      <c r="W123" s="109"/>
      <c r="X123" s="109"/>
      <c r="Y123" s="109"/>
      <c r="Z123" s="112"/>
      <c r="AA123" s="110"/>
      <c r="AB123" s="110"/>
    </row>
    <row r="124" spans="1:28" ht="16.5" customHeight="1">
      <c r="A124" s="140" t="s">
        <v>610</v>
      </c>
      <c r="B124" s="140">
        <v>88</v>
      </c>
      <c r="C124" s="140">
        <v>88</v>
      </c>
      <c r="D124" s="140">
        <v>98</v>
      </c>
      <c r="E124" s="140">
        <v>65</v>
      </c>
      <c r="F124" s="140">
        <v>91</v>
      </c>
      <c r="G124" s="140">
        <v>9</v>
      </c>
      <c r="H124" s="140">
        <v>58</v>
      </c>
      <c r="I124" s="140">
        <v>2</v>
      </c>
      <c r="J124" s="140">
        <v>3</v>
      </c>
      <c r="K124" s="140">
        <v>9</v>
      </c>
      <c r="L124" s="140">
        <v>60</v>
      </c>
      <c r="M124" s="140">
        <v>4.3</v>
      </c>
      <c r="N124" s="140">
        <v>2</v>
      </c>
      <c r="O124" s="141">
        <v>0.02</v>
      </c>
      <c r="P124" s="141">
        <v>0.3</v>
      </c>
      <c r="Q124" s="140">
        <v>0.4</v>
      </c>
      <c r="R124" s="140">
        <v>0.05</v>
      </c>
      <c r="S124" s="140">
        <v>0.13</v>
      </c>
      <c r="T124" s="140">
        <v>18</v>
      </c>
      <c r="U124" s="111"/>
      <c r="V124" s="111"/>
      <c r="W124" s="109"/>
      <c r="X124" s="109"/>
      <c r="Y124" s="109"/>
      <c r="Z124" s="112"/>
      <c r="AA124" s="110"/>
      <c r="AB124" s="110"/>
    </row>
    <row r="125" spans="1:28" ht="16.5" customHeight="1">
      <c r="A125" s="140" t="s">
        <v>350</v>
      </c>
      <c r="B125" s="140">
        <v>86</v>
      </c>
      <c r="C125" s="140">
        <v>91</v>
      </c>
      <c r="D125" s="140">
        <v>102</v>
      </c>
      <c r="E125" s="140">
        <v>69</v>
      </c>
      <c r="F125" s="140">
        <v>95</v>
      </c>
      <c r="G125" s="140">
        <v>10</v>
      </c>
      <c r="H125" s="140">
        <v>52</v>
      </c>
      <c r="I125" s="140">
        <v>3</v>
      </c>
      <c r="J125" s="140">
        <v>4</v>
      </c>
      <c r="K125" s="140">
        <v>9</v>
      </c>
      <c r="L125" s="140">
        <v>20</v>
      </c>
      <c r="M125" s="140">
        <v>4.3</v>
      </c>
      <c r="N125" s="140">
        <v>2</v>
      </c>
      <c r="O125" s="141">
        <v>0.04</v>
      </c>
      <c r="P125" s="141">
        <v>0.27</v>
      </c>
      <c r="Q125" s="140">
        <v>0.4</v>
      </c>
      <c r="R125" s="140">
        <v>0.05</v>
      </c>
      <c r="S125" s="140">
        <v>0.12</v>
      </c>
      <c r="T125" s="140">
        <v>16</v>
      </c>
      <c r="U125" s="111"/>
      <c r="V125" s="111"/>
      <c r="W125" s="109"/>
      <c r="X125" s="109"/>
      <c r="Y125" s="109"/>
      <c r="Z125" s="112"/>
      <c r="AA125" s="110"/>
      <c r="AB125" s="110"/>
    </row>
    <row r="126" spans="1:28" ht="16.5" customHeight="1">
      <c r="A126" s="140" t="s">
        <v>152</v>
      </c>
      <c r="B126" s="140">
        <v>34</v>
      </c>
      <c r="C126" s="140">
        <v>72</v>
      </c>
      <c r="D126" s="140">
        <v>75</v>
      </c>
      <c r="E126" s="140">
        <v>47</v>
      </c>
      <c r="F126" s="140">
        <v>74</v>
      </c>
      <c r="G126" s="140">
        <v>8</v>
      </c>
      <c r="H126" s="140">
        <v>28</v>
      </c>
      <c r="I126" s="140">
        <v>21</v>
      </c>
      <c r="J126" s="140">
        <v>27</v>
      </c>
      <c r="K126" s="140">
        <v>46</v>
      </c>
      <c r="L126" s="140">
        <v>70</v>
      </c>
      <c r="M126" s="140">
        <v>3.1</v>
      </c>
      <c r="N126" s="140">
        <v>5</v>
      </c>
      <c r="O126" s="141">
        <v>0.28</v>
      </c>
      <c r="P126" s="141">
        <v>0.23</v>
      </c>
      <c r="Q126" s="140">
        <v>1.1</v>
      </c>
      <c r="R126" s="140">
        <v>0.2</v>
      </c>
      <c r="S126" s="140">
        <v>0.12</v>
      </c>
      <c r="T126" s="140">
        <v>22</v>
      </c>
      <c r="U126" s="111"/>
      <c r="V126" s="111"/>
      <c r="W126" s="109"/>
      <c r="X126" s="109"/>
      <c r="Y126" s="109"/>
      <c r="Z126" s="112"/>
      <c r="AA126" s="110"/>
      <c r="AB126" s="110"/>
    </row>
    <row r="127" spans="1:28" ht="16.5" customHeight="1">
      <c r="A127" s="140" t="s">
        <v>27</v>
      </c>
      <c r="B127" s="140">
        <v>26</v>
      </c>
      <c r="C127" s="140">
        <v>65</v>
      </c>
      <c r="D127" s="140">
        <v>66</v>
      </c>
      <c r="E127" s="140">
        <v>37</v>
      </c>
      <c r="F127" s="140">
        <v>66</v>
      </c>
      <c r="G127" s="140">
        <v>8</v>
      </c>
      <c r="H127" s="140">
        <v>18</v>
      </c>
      <c r="I127" s="140">
        <v>26</v>
      </c>
      <c r="J127" s="140">
        <v>32</v>
      </c>
      <c r="K127" s="140">
        <v>54</v>
      </c>
      <c r="L127" s="140">
        <v>60</v>
      </c>
      <c r="M127" s="140">
        <v>2.8</v>
      </c>
      <c r="N127" s="140">
        <v>6</v>
      </c>
      <c r="O127" s="141">
        <v>0.4</v>
      </c>
      <c r="P127" s="141">
        <v>0.27</v>
      </c>
      <c r="Q127" s="140">
        <v>1.6</v>
      </c>
      <c r="R127" s="140"/>
      <c r="S127" s="140">
        <v>0.11</v>
      </c>
      <c r="T127" s="140">
        <v>20</v>
      </c>
      <c r="U127" s="111"/>
      <c r="V127" s="111"/>
      <c r="W127" s="109"/>
      <c r="X127" s="109"/>
      <c r="Y127" s="109"/>
      <c r="Z127" s="112"/>
      <c r="AA127" s="110"/>
      <c r="AB127" s="110"/>
    </row>
    <row r="128" spans="1:28" ht="16.5" customHeight="1">
      <c r="A128" s="140" t="s">
        <v>28</v>
      </c>
      <c r="B128" s="140">
        <v>24</v>
      </c>
      <c r="C128" s="140">
        <v>65</v>
      </c>
      <c r="D128" s="140">
        <v>66</v>
      </c>
      <c r="E128" s="140">
        <v>37</v>
      </c>
      <c r="F128" s="140">
        <v>66</v>
      </c>
      <c r="G128" s="140">
        <v>11</v>
      </c>
      <c r="H128" s="140"/>
      <c r="I128" s="140">
        <v>20</v>
      </c>
      <c r="J128" s="140">
        <v>32</v>
      </c>
      <c r="K128" s="140">
        <v>57</v>
      </c>
      <c r="L128" s="140">
        <v>60</v>
      </c>
      <c r="M128" s="140">
        <v>5</v>
      </c>
      <c r="N128" s="140">
        <v>5</v>
      </c>
      <c r="O128" s="141">
        <v>0.24</v>
      </c>
      <c r="P128" s="141">
        <v>0.26</v>
      </c>
      <c r="Q128" s="140">
        <v>1.2</v>
      </c>
      <c r="R128" s="140">
        <v>0.17</v>
      </c>
      <c r="S128" s="140">
        <v>0.16</v>
      </c>
      <c r="T128" s="140">
        <v>39</v>
      </c>
      <c r="U128" s="111"/>
      <c r="V128" s="111"/>
      <c r="W128" s="109"/>
      <c r="X128" s="109"/>
      <c r="Y128" s="109"/>
      <c r="Z128" s="112"/>
      <c r="AA128" s="110"/>
      <c r="AB128" s="110"/>
    </row>
    <row r="129" spans="1:28" ht="16.5" customHeight="1">
      <c r="A129" s="140" t="s">
        <v>351</v>
      </c>
      <c r="B129" s="140">
        <v>80</v>
      </c>
      <c r="C129" s="140">
        <v>56</v>
      </c>
      <c r="D129" s="140">
        <v>56</v>
      </c>
      <c r="E129" s="140">
        <v>23</v>
      </c>
      <c r="F129" s="140">
        <v>56</v>
      </c>
      <c r="G129" s="140">
        <v>5</v>
      </c>
      <c r="H129" s="140">
        <v>30</v>
      </c>
      <c r="I129" s="140">
        <v>35</v>
      </c>
      <c r="J129" s="140">
        <v>44</v>
      </c>
      <c r="K129" s="140">
        <v>70</v>
      </c>
      <c r="L129" s="140">
        <v>100</v>
      </c>
      <c r="M129" s="140">
        <v>1.3</v>
      </c>
      <c r="N129" s="140">
        <v>7</v>
      </c>
      <c r="O129" s="141">
        <v>0.35</v>
      </c>
      <c r="P129" s="141">
        <v>0.19</v>
      </c>
      <c r="Q129" s="140">
        <v>1.1</v>
      </c>
      <c r="R129" s="140">
        <v>0.3</v>
      </c>
      <c r="S129" s="140">
        <v>0.14</v>
      </c>
      <c r="T129" s="140">
        <v>22</v>
      </c>
      <c r="U129" s="111"/>
      <c r="V129" s="111"/>
      <c r="W129" s="109"/>
      <c r="X129" s="109"/>
      <c r="Y129" s="109"/>
      <c r="Z129" s="112"/>
      <c r="AA129" s="110"/>
      <c r="AB129" s="110"/>
    </row>
    <row r="130" spans="1:28" ht="16.5" customHeight="1">
      <c r="A130" s="140" t="s">
        <v>29</v>
      </c>
      <c r="B130" s="140">
        <v>91</v>
      </c>
      <c r="C130" s="140">
        <v>63</v>
      </c>
      <c r="D130" s="140">
        <v>64</v>
      </c>
      <c r="E130" s="140">
        <v>34</v>
      </c>
      <c r="F130" s="140">
        <v>64</v>
      </c>
      <c r="G130" s="140">
        <v>9</v>
      </c>
      <c r="H130" s="140">
        <v>45</v>
      </c>
      <c r="I130" s="140">
        <v>21</v>
      </c>
      <c r="J130" s="140">
        <v>24</v>
      </c>
      <c r="K130" s="140">
        <v>40</v>
      </c>
      <c r="L130" s="140">
        <v>6</v>
      </c>
      <c r="M130" s="140">
        <v>2.4</v>
      </c>
      <c r="N130" s="140">
        <v>6</v>
      </c>
      <c r="O130" s="141">
        <v>0.5</v>
      </c>
      <c r="P130" s="141">
        <v>0.24</v>
      </c>
      <c r="Q130" s="140">
        <v>0.9</v>
      </c>
      <c r="R130" s="140"/>
      <c r="S130" s="140">
        <v>0.14</v>
      </c>
      <c r="T130" s="140"/>
      <c r="U130" s="111"/>
      <c r="V130" s="111"/>
      <c r="W130" s="109"/>
      <c r="X130" s="109"/>
      <c r="Y130" s="109"/>
      <c r="Z130" s="112"/>
      <c r="AA130" s="110"/>
      <c r="AB130" s="110"/>
    </row>
    <row r="131" spans="1:28" ht="16.5" customHeight="1">
      <c r="A131" s="140" t="s">
        <v>352</v>
      </c>
      <c r="B131" s="140">
        <v>91</v>
      </c>
      <c r="C131" s="140">
        <v>42</v>
      </c>
      <c r="D131" s="140">
        <v>43</v>
      </c>
      <c r="E131" s="140">
        <v>0</v>
      </c>
      <c r="F131" s="140">
        <v>40</v>
      </c>
      <c r="G131" s="140">
        <v>10</v>
      </c>
      <c r="H131" s="140"/>
      <c r="I131" s="140">
        <v>34</v>
      </c>
      <c r="J131" s="140">
        <v>51</v>
      </c>
      <c r="K131" s="140">
        <v>70</v>
      </c>
      <c r="L131" s="140">
        <v>100</v>
      </c>
      <c r="M131" s="140">
        <v>2</v>
      </c>
      <c r="N131" s="140">
        <v>14</v>
      </c>
      <c r="O131" s="141">
        <v>1.7</v>
      </c>
      <c r="P131" s="141">
        <v>0.25</v>
      </c>
      <c r="Q131" s="140">
        <v>1.9</v>
      </c>
      <c r="R131" s="140"/>
      <c r="S131" s="140">
        <v>0.14</v>
      </c>
      <c r="T131" s="140">
        <v>25</v>
      </c>
      <c r="U131" s="111"/>
      <c r="V131" s="111"/>
      <c r="W131" s="109"/>
      <c r="X131" s="109"/>
      <c r="Y131" s="109"/>
      <c r="Z131" s="112"/>
      <c r="AA131" s="110"/>
      <c r="AB131" s="110"/>
    </row>
    <row r="132" spans="1:28" ht="16.5" customHeight="1">
      <c r="A132" s="140" t="s">
        <v>353</v>
      </c>
      <c r="B132" s="140">
        <v>90</v>
      </c>
      <c r="C132" s="140">
        <v>45</v>
      </c>
      <c r="D132" s="140">
        <v>45</v>
      </c>
      <c r="E132" s="140">
        <v>3</v>
      </c>
      <c r="F132" s="140">
        <v>44</v>
      </c>
      <c r="G132" s="140">
        <v>5</v>
      </c>
      <c r="H132" s="140">
        <v>45</v>
      </c>
      <c r="I132" s="140">
        <v>48</v>
      </c>
      <c r="J132" s="140">
        <v>68</v>
      </c>
      <c r="K132" s="140">
        <v>87</v>
      </c>
      <c r="L132" s="140">
        <v>100</v>
      </c>
      <c r="M132" s="140">
        <v>1.9</v>
      </c>
      <c r="N132" s="140">
        <v>3</v>
      </c>
      <c r="O132" s="141">
        <v>0.15</v>
      </c>
      <c r="P132" s="141">
        <v>0.08</v>
      </c>
      <c r="Q132" s="140">
        <v>1.1</v>
      </c>
      <c r="R132" s="140">
        <v>0.02</v>
      </c>
      <c r="S132" s="140">
        <v>0.05</v>
      </c>
      <c r="T132" s="140">
        <v>10</v>
      </c>
      <c r="U132" s="111"/>
      <c r="V132" s="111"/>
      <c r="W132" s="109"/>
      <c r="X132" s="109"/>
      <c r="Y132" s="109"/>
      <c r="Z132" s="112"/>
      <c r="AA132" s="110"/>
      <c r="AB132" s="110"/>
    </row>
    <row r="133" spans="1:28" ht="16.5" customHeight="1">
      <c r="A133" s="140" t="s">
        <v>354</v>
      </c>
      <c r="B133" s="140">
        <v>92</v>
      </c>
      <c r="C133" s="140">
        <v>80</v>
      </c>
      <c r="D133" s="140">
        <v>86</v>
      </c>
      <c r="E133" s="140">
        <v>56</v>
      </c>
      <c r="F133" s="140">
        <v>83</v>
      </c>
      <c r="G133" s="140">
        <v>46</v>
      </c>
      <c r="H133" s="140">
        <v>50</v>
      </c>
      <c r="I133" s="140">
        <v>13</v>
      </c>
      <c r="J133" s="140">
        <v>18</v>
      </c>
      <c r="K133" s="140">
        <v>31</v>
      </c>
      <c r="L133" s="140">
        <v>23</v>
      </c>
      <c r="M133" s="140">
        <v>5</v>
      </c>
      <c r="N133" s="140">
        <v>7</v>
      </c>
      <c r="O133" s="141">
        <v>0.21</v>
      </c>
      <c r="P133" s="141">
        <v>1.19</v>
      </c>
      <c r="Q133" s="140">
        <v>1.7</v>
      </c>
      <c r="R133" s="140">
        <v>0.05</v>
      </c>
      <c r="S133" s="140">
        <v>0.42</v>
      </c>
      <c r="T133" s="140">
        <v>64</v>
      </c>
      <c r="U133" s="111"/>
      <c r="V133" s="111"/>
      <c r="W133" s="109"/>
      <c r="X133" s="109"/>
      <c r="Y133" s="109"/>
      <c r="Z133" s="112"/>
      <c r="AA133" s="110"/>
      <c r="AB133" s="110"/>
    </row>
    <row r="134" spans="1:28" ht="16.5" customHeight="1">
      <c r="A134" s="140" t="s">
        <v>355</v>
      </c>
      <c r="B134" s="140">
        <v>90</v>
      </c>
      <c r="C134" s="140">
        <v>77</v>
      </c>
      <c r="D134" s="140">
        <v>82</v>
      </c>
      <c r="E134" s="140">
        <v>53</v>
      </c>
      <c r="F134" s="140">
        <v>79</v>
      </c>
      <c r="G134" s="140">
        <v>48</v>
      </c>
      <c r="H134" s="140">
        <v>42</v>
      </c>
      <c r="I134" s="140">
        <v>13</v>
      </c>
      <c r="J134" s="140">
        <v>17</v>
      </c>
      <c r="K134" s="140">
        <v>25</v>
      </c>
      <c r="L134" s="140">
        <v>23</v>
      </c>
      <c r="M134" s="140">
        <v>1.8</v>
      </c>
      <c r="N134" s="140">
        <v>7</v>
      </c>
      <c r="O134" s="141">
        <v>0.22</v>
      </c>
      <c r="P134" s="141">
        <v>1.25</v>
      </c>
      <c r="Q134" s="140">
        <v>1.7</v>
      </c>
      <c r="R134" s="140">
        <v>0.05</v>
      </c>
      <c r="S134" s="140">
        <v>0.44</v>
      </c>
      <c r="T134" s="140">
        <v>66</v>
      </c>
      <c r="U134" s="111"/>
      <c r="V134" s="111"/>
      <c r="W134" s="109"/>
      <c r="X134" s="109"/>
      <c r="Y134" s="109"/>
      <c r="Z134" s="112"/>
      <c r="AA134" s="110"/>
      <c r="AB134" s="110"/>
    </row>
    <row r="135" spans="1:28" ht="16.5" customHeight="1">
      <c r="A135" s="140" t="s">
        <v>356</v>
      </c>
      <c r="B135" s="140">
        <v>91</v>
      </c>
      <c r="C135" s="140">
        <v>95</v>
      </c>
      <c r="D135" s="140">
        <v>107</v>
      </c>
      <c r="E135" s="140">
        <v>73</v>
      </c>
      <c r="F135" s="140">
        <v>99</v>
      </c>
      <c r="G135" s="140">
        <v>23</v>
      </c>
      <c r="H135" s="140">
        <v>38</v>
      </c>
      <c r="I135" s="140">
        <v>29</v>
      </c>
      <c r="J135" s="140">
        <v>39</v>
      </c>
      <c r="K135" s="140">
        <v>47</v>
      </c>
      <c r="L135" s="140">
        <v>100</v>
      </c>
      <c r="M135" s="140">
        <v>17.8</v>
      </c>
      <c r="N135" s="140">
        <v>4</v>
      </c>
      <c r="O135" s="141">
        <v>0.14</v>
      </c>
      <c r="P135" s="141">
        <v>0.64</v>
      </c>
      <c r="Q135" s="140">
        <v>1.1</v>
      </c>
      <c r="R135" s="140">
        <v>0.06</v>
      </c>
      <c r="S135" s="140">
        <v>0.24</v>
      </c>
      <c r="T135" s="140">
        <v>34</v>
      </c>
      <c r="U135" s="111"/>
      <c r="V135" s="111"/>
      <c r="W135" s="109"/>
      <c r="X135" s="109"/>
      <c r="Y135" s="109"/>
      <c r="Z135" s="112"/>
      <c r="AA135" s="110"/>
      <c r="AB135" s="110"/>
    </row>
    <row r="136" spans="1:28" ht="16.5" customHeight="1">
      <c r="A136" s="140" t="s">
        <v>357</v>
      </c>
      <c r="B136" s="140">
        <v>90</v>
      </c>
      <c r="C136" s="140">
        <v>95</v>
      </c>
      <c r="D136" s="140">
        <v>107</v>
      </c>
      <c r="E136" s="140">
        <v>73</v>
      </c>
      <c r="F136" s="140">
        <v>99</v>
      </c>
      <c r="G136" s="140">
        <v>24</v>
      </c>
      <c r="H136" s="140">
        <v>39</v>
      </c>
      <c r="I136" s="140">
        <v>20</v>
      </c>
      <c r="J136" s="140">
        <v>29</v>
      </c>
      <c r="K136" s="140">
        <v>40</v>
      </c>
      <c r="L136" s="140">
        <v>100</v>
      </c>
      <c r="M136" s="140">
        <v>22.2</v>
      </c>
      <c r="N136" s="140">
        <v>4</v>
      </c>
      <c r="O136" s="141">
        <v>0.13</v>
      </c>
      <c r="P136" s="141">
        <v>0.55</v>
      </c>
      <c r="Q136" s="140">
        <v>1.2</v>
      </c>
      <c r="R136" s="140"/>
      <c r="S136" s="140">
        <v>0.24</v>
      </c>
      <c r="T136" s="140">
        <v>36</v>
      </c>
      <c r="U136" s="111"/>
      <c r="V136" s="111"/>
      <c r="W136" s="109"/>
      <c r="X136" s="109"/>
      <c r="Y136" s="109"/>
      <c r="Z136" s="112"/>
      <c r="AA136" s="110"/>
      <c r="AB136" s="110"/>
    </row>
    <row r="137" spans="1:28" ht="16.5" customHeight="1">
      <c r="A137" s="140" t="s">
        <v>358</v>
      </c>
      <c r="B137" s="140">
        <v>92</v>
      </c>
      <c r="C137" s="140">
        <v>87</v>
      </c>
      <c r="D137" s="140">
        <v>98</v>
      </c>
      <c r="E137" s="140">
        <v>67</v>
      </c>
      <c r="F137" s="140">
        <v>91</v>
      </c>
      <c r="G137" s="140">
        <v>26</v>
      </c>
      <c r="H137" s="140">
        <v>50</v>
      </c>
      <c r="I137" s="140">
        <v>32</v>
      </c>
      <c r="J137" s="140">
        <v>44</v>
      </c>
      <c r="K137" s="140">
        <v>53</v>
      </c>
      <c r="L137" s="140">
        <v>33</v>
      </c>
      <c r="M137" s="140">
        <v>9.5</v>
      </c>
      <c r="N137" s="140">
        <v>5</v>
      </c>
      <c r="O137" s="141">
        <v>0.17</v>
      </c>
      <c r="P137" s="141">
        <v>0.68</v>
      </c>
      <c r="Q137" s="140">
        <v>1.3</v>
      </c>
      <c r="R137" s="140"/>
      <c r="S137" s="140">
        <v>0.24</v>
      </c>
      <c r="T137" s="140">
        <v>38</v>
      </c>
      <c r="U137" s="111"/>
      <c r="V137" s="111"/>
      <c r="W137" s="109"/>
      <c r="X137" s="109"/>
      <c r="Y137" s="109"/>
      <c r="Z137" s="112"/>
      <c r="AA137" s="110"/>
      <c r="AB137" s="110"/>
    </row>
    <row r="138" spans="1:28" ht="16.5" customHeight="1">
      <c r="A138" s="140" t="s">
        <v>359</v>
      </c>
      <c r="B138" s="140">
        <v>91</v>
      </c>
      <c r="C138" s="140">
        <v>29</v>
      </c>
      <c r="D138" s="140">
        <v>37</v>
      </c>
      <c r="E138" s="140">
        <v>0</v>
      </c>
      <c r="F138" s="140">
        <v>30</v>
      </c>
      <c r="G138" s="140">
        <v>32</v>
      </c>
      <c r="H138" s="140">
        <v>65</v>
      </c>
      <c r="I138" s="140">
        <v>11</v>
      </c>
      <c r="J138" s="140">
        <v>13</v>
      </c>
      <c r="K138" s="140"/>
      <c r="L138" s="140"/>
      <c r="M138" s="140">
        <v>3</v>
      </c>
      <c r="N138" s="140">
        <v>43</v>
      </c>
      <c r="O138" s="141">
        <v>15</v>
      </c>
      <c r="P138" s="141">
        <v>1.88</v>
      </c>
      <c r="Q138" s="140">
        <v>0.5</v>
      </c>
      <c r="R138" s="140">
        <v>1.63</v>
      </c>
      <c r="S138" s="140">
        <v>0.27</v>
      </c>
      <c r="T138" s="140">
        <v>107</v>
      </c>
      <c r="U138" s="111"/>
      <c r="V138" s="111"/>
      <c r="W138" s="109"/>
      <c r="X138" s="109"/>
      <c r="Y138" s="109"/>
      <c r="Z138" s="112"/>
      <c r="AA138" s="110"/>
      <c r="AB138" s="110"/>
    </row>
    <row r="139" spans="1:28" ht="16.5" customHeight="1">
      <c r="A139" s="140" t="s">
        <v>287</v>
      </c>
      <c r="B139" s="140">
        <v>92</v>
      </c>
      <c r="C139" s="140">
        <v>88</v>
      </c>
      <c r="D139" s="140">
        <v>98</v>
      </c>
      <c r="E139" s="140">
        <v>65</v>
      </c>
      <c r="F139" s="140">
        <v>91</v>
      </c>
      <c r="G139" s="140">
        <v>28</v>
      </c>
      <c r="H139" s="140">
        <v>50</v>
      </c>
      <c r="I139" s="140">
        <v>24</v>
      </c>
      <c r="J139" s="140">
        <v>33</v>
      </c>
      <c r="K139" s="140">
        <v>42</v>
      </c>
      <c r="L139" s="140">
        <v>25</v>
      </c>
      <c r="M139" s="140">
        <v>17</v>
      </c>
      <c r="N139" s="140">
        <v>7</v>
      </c>
      <c r="O139" s="141">
        <v>1.22</v>
      </c>
      <c r="P139" s="141">
        <v>0.78</v>
      </c>
      <c r="Q139" s="140">
        <v>1</v>
      </c>
      <c r="R139" s="140">
        <v>0.65</v>
      </c>
      <c r="S139" s="140">
        <v>1.18</v>
      </c>
      <c r="T139" s="140">
        <v>41</v>
      </c>
      <c r="U139" s="111"/>
      <c r="V139" s="111"/>
      <c r="W139" s="109"/>
      <c r="X139" s="109"/>
      <c r="Y139" s="109"/>
      <c r="Z139" s="112"/>
      <c r="AA139" s="110"/>
      <c r="AB139" s="110"/>
    </row>
    <row r="140" spans="1:28" ht="16.5" customHeight="1">
      <c r="A140" s="140" t="s">
        <v>360</v>
      </c>
      <c r="B140" s="140">
        <v>91</v>
      </c>
      <c r="C140" s="140">
        <v>81</v>
      </c>
      <c r="D140" s="140">
        <v>88</v>
      </c>
      <c r="E140" s="140">
        <v>58</v>
      </c>
      <c r="F140" s="140">
        <v>84</v>
      </c>
      <c r="G140" s="140">
        <v>31</v>
      </c>
      <c r="H140" s="140">
        <v>45</v>
      </c>
      <c r="I140" s="140">
        <v>25</v>
      </c>
      <c r="J140" s="140">
        <v>35</v>
      </c>
      <c r="K140" s="140">
        <v>47</v>
      </c>
      <c r="L140" s="140">
        <v>23</v>
      </c>
      <c r="M140" s="140">
        <v>1.4</v>
      </c>
      <c r="N140" s="140">
        <v>8</v>
      </c>
      <c r="O140" s="141">
        <v>1.27</v>
      </c>
      <c r="P140" s="141">
        <v>0.86</v>
      </c>
      <c r="Q140" s="140">
        <v>1.1</v>
      </c>
      <c r="R140" s="140">
        <v>0.7</v>
      </c>
      <c r="S140" s="140">
        <v>1.26</v>
      </c>
      <c r="T140" s="140">
        <v>44</v>
      </c>
      <c r="U140" s="111"/>
      <c r="V140" s="111"/>
      <c r="W140" s="109"/>
      <c r="X140" s="109"/>
      <c r="Y140" s="109"/>
      <c r="Z140" s="112"/>
      <c r="AA140" s="110"/>
      <c r="AB140" s="110"/>
    </row>
    <row r="141" spans="1:28" ht="16.5" customHeight="1">
      <c r="A141" s="140" t="s">
        <v>361</v>
      </c>
      <c r="B141" s="140">
        <v>88</v>
      </c>
      <c r="C141" s="140">
        <v>49</v>
      </c>
      <c r="D141" s="140">
        <v>49</v>
      </c>
      <c r="E141" s="140">
        <v>11</v>
      </c>
      <c r="F141" s="140">
        <v>48</v>
      </c>
      <c r="G141" s="140">
        <v>7</v>
      </c>
      <c r="H141" s="140"/>
      <c r="I141" s="140">
        <v>26</v>
      </c>
      <c r="J141" s="140">
        <v>47</v>
      </c>
      <c r="K141" s="140">
        <v>54</v>
      </c>
      <c r="L141" s="140">
        <v>33</v>
      </c>
      <c r="M141" s="140">
        <v>15.7</v>
      </c>
      <c r="N141" s="140">
        <v>2</v>
      </c>
      <c r="O141" s="141"/>
      <c r="P141" s="141"/>
      <c r="Q141" s="140"/>
      <c r="R141" s="140"/>
      <c r="S141" s="140"/>
      <c r="T141" s="140"/>
      <c r="U141" s="111"/>
      <c r="V141" s="111"/>
      <c r="W141" s="109"/>
      <c r="X141" s="109"/>
      <c r="Y141" s="109"/>
      <c r="Z141" s="112"/>
      <c r="AA141" s="110"/>
      <c r="AB141" s="110"/>
    </row>
    <row r="142" spans="1:28" ht="16.5" customHeight="1">
      <c r="A142" s="140" t="s">
        <v>362</v>
      </c>
      <c r="B142" s="140">
        <v>94</v>
      </c>
      <c r="C142" s="140">
        <v>25</v>
      </c>
      <c r="D142" s="140">
        <v>36</v>
      </c>
      <c r="E142" s="140">
        <v>0</v>
      </c>
      <c r="F142" s="140">
        <v>29</v>
      </c>
      <c r="G142" s="140">
        <v>35</v>
      </c>
      <c r="H142" s="140">
        <v>74</v>
      </c>
      <c r="I142" s="140"/>
      <c r="J142" s="140">
        <v>15</v>
      </c>
      <c r="K142" s="140"/>
      <c r="L142" s="140"/>
      <c r="M142" s="140"/>
      <c r="N142" s="140">
        <v>42</v>
      </c>
      <c r="O142" s="141">
        <v>13.1</v>
      </c>
      <c r="P142" s="141">
        <v>0.85</v>
      </c>
      <c r="Q142" s="140"/>
      <c r="R142" s="140"/>
      <c r="S142" s="140"/>
      <c r="T142" s="140"/>
      <c r="U142" s="111"/>
      <c r="V142" s="111"/>
      <c r="W142" s="109"/>
      <c r="X142" s="109"/>
      <c r="Y142" s="109"/>
      <c r="Z142" s="112"/>
      <c r="AA142" s="110"/>
      <c r="AB142" s="110"/>
    </row>
    <row r="143" spans="1:28" ht="16.5" customHeight="1">
      <c r="A143" s="140" t="s">
        <v>363</v>
      </c>
      <c r="B143" s="140">
        <v>99</v>
      </c>
      <c r="C143" s="140">
        <v>0</v>
      </c>
      <c r="D143" s="140">
        <v>0</v>
      </c>
      <c r="E143" s="140">
        <v>0</v>
      </c>
      <c r="F143" s="140">
        <v>0</v>
      </c>
      <c r="G143" s="140">
        <v>0</v>
      </c>
      <c r="H143" s="140"/>
      <c r="I143" s="140">
        <v>0</v>
      </c>
      <c r="J143" s="140">
        <v>0</v>
      </c>
      <c r="K143" s="140">
        <v>0</v>
      </c>
      <c r="L143" s="140">
        <v>0</v>
      </c>
      <c r="M143" s="140">
        <v>0</v>
      </c>
      <c r="N143" s="140">
        <v>95</v>
      </c>
      <c r="O143" s="141">
        <v>34</v>
      </c>
      <c r="P143" s="141">
        <v>15</v>
      </c>
      <c r="Q143" s="140"/>
      <c r="R143" s="140"/>
      <c r="S143" s="140"/>
      <c r="T143" s="140"/>
      <c r="U143" s="111"/>
      <c r="V143" s="111"/>
      <c r="W143" s="109"/>
      <c r="X143" s="109"/>
      <c r="Y143" s="109"/>
      <c r="Z143" s="112"/>
      <c r="AA143" s="110"/>
      <c r="AB143" s="110"/>
    </row>
    <row r="144" spans="1:28" ht="16.5" customHeight="1">
      <c r="A144" s="140" t="s">
        <v>364</v>
      </c>
      <c r="B144" s="140">
        <v>99</v>
      </c>
      <c r="C144" s="140">
        <v>0</v>
      </c>
      <c r="D144" s="140">
        <v>0</v>
      </c>
      <c r="E144" s="140">
        <v>0</v>
      </c>
      <c r="F144" s="140">
        <v>0</v>
      </c>
      <c r="G144" s="140">
        <v>0</v>
      </c>
      <c r="H144" s="140"/>
      <c r="I144" s="140">
        <v>0</v>
      </c>
      <c r="J144" s="140">
        <v>0</v>
      </c>
      <c r="K144" s="140">
        <v>0</v>
      </c>
      <c r="L144" s="140">
        <v>0</v>
      </c>
      <c r="M144" s="140">
        <v>0</v>
      </c>
      <c r="N144" s="140">
        <v>95</v>
      </c>
      <c r="O144" s="141">
        <v>32.6</v>
      </c>
      <c r="P144" s="141">
        <v>18.07</v>
      </c>
      <c r="Q144" s="140">
        <v>1</v>
      </c>
      <c r="R144" s="140"/>
      <c r="S144" s="140"/>
      <c r="T144" s="140">
        <v>100</v>
      </c>
      <c r="U144" s="111"/>
      <c r="V144" s="111"/>
      <c r="W144" s="109"/>
      <c r="X144" s="109"/>
      <c r="Y144" s="109"/>
      <c r="Z144" s="112"/>
      <c r="AA144" s="110"/>
      <c r="AB144" s="110"/>
    </row>
    <row r="145" spans="1:28" ht="16.5" customHeight="1">
      <c r="A145" s="140" t="s">
        <v>30</v>
      </c>
      <c r="B145" s="140"/>
      <c r="C145" s="140"/>
      <c r="D145" s="140"/>
      <c r="E145" s="140"/>
      <c r="F145" s="140"/>
      <c r="G145" s="140"/>
      <c r="H145" s="140"/>
      <c r="I145" s="140"/>
      <c r="J145" s="140"/>
      <c r="K145" s="140"/>
      <c r="L145" s="140"/>
      <c r="M145" s="140"/>
      <c r="N145" s="140"/>
      <c r="O145" s="141"/>
      <c r="P145" s="141"/>
      <c r="Q145" s="140"/>
      <c r="R145" s="140"/>
      <c r="S145" s="140"/>
      <c r="T145" s="140"/>
      <c r="U145" s="111"/>
      <c r="V145" s="111"/>
      <c r="W145" s="109"/>
      <c r="X145" s="109"/>
      <c r="Y145" s="109"/>
      <c r="Z145" s="112"/>
      <c r="AA145" s="110"/>
      <c r="AB145" s="110"/>
    </row>
    <row r="146" spans="1:28" ht="16.5" customHeight="1">
      <c r="A146" s="140" t="s">
        <v>365</v>
      </c>
      <c r="B146" s="140">
        <v>98</v>
      </c>
      <c r="C146" s="140">
        <v>0</v>
      </c>
      <c r="D146" s="140">
        <v>0</v>
      </c>
      <c r="E146" s="140">
        <v>0</v>
      </c>
      <c r="F146" s="140">
        <v>0</v>
      </c>
      <c r="G146" s="140">
        <v>115</v>
      </c>
      <c r="H146" s="140">
        <v>0</v>
      </c>
      <c r="I146" s="140">
        <v>0</v>
      </c>
      <c r="J146" s="140">
        <v>0</v>
      </c>
      <c r="K146" s="140">
        <v>0</v>
      </c>
      <c r="L146" s="140">
        <v>0</v>
      </c>
      <c r="M146" s="140">
        <v>0</v>
      </c>
      <c r="N146" s="140">
        <v>35</v>
      </c>
      <c r="O146" s="141">
        <v>0.52</v>
      </c>
      <c r="P146" s="141">
        <v>20.41</v>
      </c>
      <c r="Q146" s="140">
        <v>0</v>
      </c>
      <c r="R146" s="140"/>
      <c r="S146" s="140">
        <v>2.16</v>
      </c>
      <c r="T146" s="140"/>
      <c r="U146" s="111"/>
      <c r="V146" s="111"/>
      <c r="W146" s="109"/>
      <c r="X146" s="109"/>
      <c r="Y146" s="109"/>
      <c r="Z146" s="112"/>
      <c r="AA146" s="110"/>
      <c r="AB146" s="110"/>
    </row>
    <row r="147" spans="1:28" ht="16.5" customHeight="1">
      <c r="A147" s="140" t="s">
        <v>368</v>
      </c>
      <c r="B147" s="140">
        <v>96</v>
      </c>
      <c r="C147" s="140">
        <v>0</v>
      </c>
      <c r="D147" s="140">
        <v>0</v>
      </c>
      <c r="E147" s="140">
        <v>0</v>
      </c>
      <c r="F147" s="140">
        <v>0</v>
      </c>
      <c r="G147" s="140">
        <v>0</v>
      </c>
      <c r="H147" s="140"/>
      <c r="I147" s="140">
        <v>0</v>
      </c>
      <c r="J147" s="140">
        <v>0</v>
      </c>
      <c r="K147" s="140">
        <v>0</v>
      </c>
      <c r="L147" s="140">
        <v>0</v>
      </c>
      <c r="M147" s="140">
        <v>0</v>
      </c>
      <c r="N147" s="140">
        <v>94</v>
      </c>
      <c r="O147" s="141">
        <v>22</v>
      </c>
      <c r="P147" s="141">
        <v>18.65</v>
      </c>
      <c r="Q147" s="140">
        <v>0.1</v>
      </c>
      <c r="R147" s="140"/>
      <c r="S147" s="140">
        <v>1</v>
      </c>
      <c r="T147" s="140">
        <v>70</v>
      </c>
      <c r="U147" s="111"/>
      <c r="V147" s="111"/>
      <c r="W147" s="109"/>
      <c r="X147" s="109"/>
      <c r="Y147" s="109"/>
      <c r="Z147" s="112"/>
      <c r="AA147" s="110"/>
      <c r="AB147" s="110"/>
    </row>
    <row r="148" spans="1:28" ht="16.5" customHeight="1">
      <c r="A148" s="140" t="s">
        <v>366</v>
      </c>
      <c r="B148" s="140">
        <v>7</v>
      </c>
      <c r="C148" s="140">
        <v>92</v>
      </c>
      <c r="D148" s="140">
        <v>103</v>
      </c>
      <c r="E148" s="140">
        <v>70</v>
      </c>
      <c r="F148" s="140">
        <v>96</v>
      </c>
      <c r="G148" s="140">
        <v>22</v>
      </c>
      <c r="H148" s="140">
        <v>55</v>
      </c>
      <c r="I148" s="140">
        <v>8</v>
      </c>
      <c r="J148" s="140">
        <v>10</v>
      </c>
      <c r="K148" s="140">
        <v>21</v>
      </c>
      <c r="L148" s="140">
        <v>0</v>
      </c>
      <c r="M148" s="140">
        <v>8.1</v>
      </c>
      <c r="N148" s="140">
        <v>5</v>
      </c>
      <c r="O148" s="141">
        <v>0.14</v>
      </c>
      <c r="P148" s="141">
        <v>0.72</v>
      </c>
      <c r="Q148" s="140">
        <v>0.2</v>
      </c>
      <c r="R148" s="140"/>
      <c r="S148" s="140">
        <v>0.6</v>
      </c>
      <c r="T148" s="140">
        <v>60</v>
      </c>
      <c r="U148" s="111"/>
      <c r="V148" s="111"/>
      <c r="W148" s="109"/>
      <c r="X148" s="109"/>
      <c r="Y148" s="109"/>
      <c r="Z148" s="112"/>
      <c r="AA148" s="110"/>
      <c r="AB148" s="110"/>
    </row>
    <row r="149" spans="1:28" ht="16.5" customHeight="1">
      <c r="A149" s="140" t="s">
        <v>367</v>
      </c>
      <c r="B149" s="140">
        <v>93</v>
      </c>
      <c r="C149" s="140">
        <v>88</v>
      </c>
      <c r="D149" s="140">
        <v>98</v>
      </c>
      <c r="E149" s="140">
        <v>65</v>
      </c>
      <c r="F149" s="140">
        <v>91</v>
      </c>
      <c r="G149" s="140">
        <v>29</v>
      </c>
      <c r="H149" s="140">
        <v>0</v>
      </c>
      <c r="I149" s="140">
        <v>4</v>
      </c>
      <c r="J149" s="140">
        <v>7</v>
      </c>
      <c r="K149" s="140">
        <v>22</v>
      </c>
      <c r="L149" s="140">
        <v>4</v>
      </c>
      <c r="M149" s="140">
        <v>9.2</v>
      </c>
      <c r="N149" s="140">
        <v>7</v>
      </c>
      <c r="O149" s="141">
        <v>0.33</v>
      </c>
      <c r="P149" s="141">
        <v>1.38</v>
      </c>
      <c r="Q149" s="140">
        <v>1.8</v>
      </c>
      <c r="R149" s="140">
        <v>0.28</v>
      </c>
      <c r="S149" s="140">
        <v>0.55</v>
      </c>
      <c r="T149" s="140">
        <v>91</v>
      </c>
      <c r="U149" s="111"/>
      <c r="V149" s="111"/>
      <c r="W149" s="109"/>
      <c r="X149" s="109"/>
      <c r="Y149" s="109"/>
      <c r="Z149" s="112"/>
      <c r="AA149" s="110"/>
      <c r="AB149" s="110"/>
    </row>
    <row r="150" spans="1:28" ht="16.5" customHeight="1">
      <c r="A150" s="140" t="s">
        <v>369</v>
      </c>
      <c r="B150" s="140">
        <v>90</v>
      </c>
      <c r="C150" s="140">
        <v>77</v>
      </c>
      <c r="D150" s="140">
        <v>82</v>
      </c>
      <c r="E150" s="140">
        <v>53</v>
      </c>
      <c r="F150" s="140">
        <v>79</v>
      </c>
      <c r="G150" s="140">
        <v>30</v>
      </c>
      <c r="H150" s="140">
        <v>56</v>
      </c>
      <c r="I150" s="140">
        <v>18</v>
      </c>
      <c r="J150" s="140">
        <v>22</v>
      </c>
      <c r="K150" s="140">
        <v>45</v>
      </c>
      <c r="L150" s="140">
        <v>4</v>
      </c>
      <c r="M150" s="140">
        <v>3.7</v>
      </c>
      <c r="N150" s="140">
        <v>4</v>
      </c>
      <c r="O150" s="141">
        <v>0.15</v>
      </c>
      <c r="P150" s="141">
        <v>0.67</v>
      </c>
      <c r="Q150" s="140">
        <v>1</v>
      </c>
      <c r="R150" s="140">
        <v>0.18</v>
      </c>
      <c r="S150" s="140">
        <v>0.43</v>
      </c>
      <c r="T150" s="140">
        <v>50</v>
      </c>
      <c r="U150" s="111"/>
      <c r="V150" s="111"/>
      <c r="W150" s="109"/>
      <c r="X150" s="109"/>
      <c r="Y150" s="109"/>
      <c r="Z150" s="112"/>
      <c r="AA150" s="110"/>
      <c r="AB150" s="110"/>
    </row>
    <row r="151" spans="1:28" ht="16.5" customHeight="1">
      <c r="A151" s="140" t="s">
        <v>545</v>
      </c>
      <c r="B151" s="140">
        <v>90</v>
      </c>
      <c r="C151" s="140">
        <v>99</v>
      </c>
      <c r="D151" s="140">
        <v>113</v>
      </c>
      <c r="E151" s="140">
        <v>75</v>
      </c>
      <c r="F151" s="140">
        <v>105</v>
      </c>
      <c r="G151" s="140">
        <v>28</v>
      </c>
      <c r="H151" s="140">
        <v>52</v>
      </c>
      <c r="I151" s="140">
        <v>8</v>
      </c>
      <c r="J151" s="140">
        <v>15</v>
      </c>
      <c r="K151" s="140">
        <v>39</v>
      </c>
      <c r="L151" s="140">
        <v>4</v>
      </c>
      <c r="M151" s="140">
        <v>11</v>
      </c>
      <c r="N151" s="140">
        <v>5</v>
      </c>
      <c r="O151" s="141">
        <v>0.2</v>
      </c>
      <c r="P151" s="141">
        <v>0.8</v>
      </c>
      <c r="Q151" s="140">
        <v>1</v>
      </c>
      <c r="R151" s="140">
        <v>0.18</v>
      </c>
      <c r="S151" s="140">
        <v>0.5</v>
      </c>
      <c r="T151" s="140">
        <v>80</v>
      </c>
      <c r="U151" s="111"/>
      <c r="V151" s="111"/>
      <c r="W151" s="109"/>
      <c r="X151" s="109"/>
      <c r="Y151" s="109"/>
      <c r="Z151" s="112"/>
      <c r="AA151" s="110"/>
      <c r="AB151" s="110"/>
    </row>
    <row r="152" spans="1:28" ht="16.5" customHeight="1">
      <c r="A152" s="140" t="s">
        <v>398</v>
      </c>
      <c r="B152" s="140">
        <v>91</v>
      </c>
      <c r="C152" s="140">
        <v>99</v>
      </c>
      <c r="D152" s="140">
        <v>113</v>
      </c>
      <c r="E152" s="140">
        <v>75</v>
      </c>
      <c r="F152" s="140">
        <v>105</v>
      </c>
      <c r="G152" s="140">
        <v>30</v>
      </c>
      <c r="H152" s="140">
        <v>58</v>
      </c>
      <c r="I152" s="140">
        <v>8</v>
      </c>
      <c r="J152" s="140">
        <v>16</v>
      </c>
      <c r="K152" s="140">
        <v>40</v>
      </c>
      <c r="L152" s="140">
        <v>4</v>
      </c>
      <c r="M152" s="140">
        <v>10</v>
      </c>
      <c r="N152" s="140">
        <v>4</v>
      </c>
      <c r="O152" s="141">
        <v>0.09</v>
      </c>
      <c r="P152" s="141">
        <v>0.66</v>
      </c>
      <c r="Q152" s="140">
        <v>0.9</v>
      </c>
      <c r="R152" s="140">
        <v>0.14</v>
      </c>
      <c r="S152" s="140">
        <v>0.45</v>
      </c>
      <c r="T152" s="140">
        <v>65</v>
      </c>
      <c r="U152" s="111"/>
      <c r="V152" s="111"/>
      <c r="W152" s="109"/>
      <c r="X152" s="109"/>
      <c r="Y152" s="109"/>
      <c r="Z152" s="112"/>
      <c r="AA152" s="110"/>
      <c r="AB152" s="110"/>
    </row>
    <row r="153" spans="1:28" ht="16.5" customHeight="1">
      <c r="A153" s="140" t="s">
        <v>31</v>
      </c>
      <c r="B153" s="140">
        <v>47</v>
      </c>
      <c r="C153" s="140">
        <v>101</v>
      </c>
      <c r="D153" s="140">
        <v>115</v>
      </c>
      <c r="E153" s="140">
        <v>77</v>
      </c>
      <c r="F153" s="140">
        <v>108</v>
      </c>
      <c r="G153" s="140">
        <v>28</v>
      </c>
      <c r="H153" s="140">
        <v>54</v>
      </c>
      <c r="I153" s="140">
        <v>8</v>
      </c>
      <c r="J153" s="140">
        <v>16</v>
      </c>
      <c r="K153" s="140">
        <v>40</v>
      </c>
      <c r="L153" s="140">
        <v>4</v>
      </c>
      <c r="M153" s="140">
        <v>10</v>
      </c>
      <c r="N153" s="140">
        <v>4</v>
      </c>
      <c r="O153" s="141">
        <v>0.09</v>
      </c>
      <c r="P153" s="141">
        <v>0.66</v>
      </c>
      <c r="Q153" s="140">
        <v>0.9</v>
      </c>
      <c r="R153" s="140">
        <v>0.14</v>
      </c>
      <c r="S153" s="140">
        <v>0.45</v>
      </c>
      <c r="T153" s="140">
        <v>65</v>
      </c>
      <c r="U153" s="111"/>
      <c r="V153" s="111"/>
      <c r="W153" s="109"/>
      <c r="X153" s="109"/>
      <c r="Y153" s="109"/>
      <c r="Z153" s="112"/>
      <c r="AA153" s="110"/>
      <c r="AB153" s="110"/>
    </row>
    <row r="154" spans="1:28" ht="16.5" customHeight="1">
      <c r="A154" s="140" t="s">
        <v>399</v>
      </c>
      <c r="B154" s="140">
        <v>36</v>
      </c>
      <c r="C154" s="140">
        <v>101</v>
      </c>
      <c r="D154" s="140">
        <v>115</v>
      </c>
      <c r="E154" s="140">
        <v>77</v>
      </c>
      <c r="F154" s="140">
        <v>108</v>
      </c>
      <c r="G154" s="140">
        <v>28</v>
      </c>
      <c r="H154" s="140">
        <v>54</v>
      </c>
      <c r="I154" s="140">
        <v>8</v>
      </c>
      <c r="J154" s="140">
        <v>16</v>
      </c>
      <c r="K154" s="140">
        <v>40</v>
      </c>
      <c r="L154" s="140">
        <v>4</v>
      </c>
      <c r="M154" s="140">
        <v>10</v>
      </c>
      <c r="N154" s="140">
        <v>4</v>
      </c>
      <c r="O154" s="141">
        <v>0.09</v>
      </c>
      <c r="P154" s="141">
        <v>0.66</v>
      </c>
      <c r="Q154" s="140">
        <v>0.9</v>
      </c>
      <c r="R154" s="140">
        <v>0.14</v>
      </c>
      <c r="S154" s="140">
        <v>0.45</v>
      </c>
      <c r="T154" s="140">
        <v>65</v>
      </c>
      <c r="U154" s="111"/>
      <c r="V154" s="111"/>
      <c r="W154" s="109"/>
      <c r="X154" s="109"/>
      <c r="Y154" s="109"/>
      <c r="Z154" s="112"/>
      <c r="AA154" s="110"/>
      <c r="AB154" s="110"/>
    </row>
    <row r="155" spans="1:28" ht="16.5" customHeight="1">
      <c r="A155" s="140" t="s">
        <v>400</v>
      </c>
      <c r="B155" s="140">
        <v>92</v>
      </c>
      <c r="C155" s="140">
        <v>85</v>
      </c>
      <c r="D155" s="140">
        <v>93</v>
      </c>
      <c r="E155" s="140">
        <v>62</v>
      </c>
      <c r="F155" s="140">
        <v>88</v>
      </c>
      <c r="G155" s="140">
        <v>31</v>
      </c>
      <c r="H155" s="140">
        <v>53</v>
      </c>
      <c r="I155" s="140">
        <v>13</v>
      </c>
      <c r="J155" s="140">
        <v>19</v>
      </c>
      <c r="K155" s="140">
        <v>47</v>
      </c>
      <c r="L155" s="140">
        <v>4</v>
      </c>
      <c r="M155" s="140">
        <v>10</v>
      </c>
      <c r="N155" s="140">
        <v>3</v>
      </c>
      <c r="O155" s="141">
        <v>0.25</v>
      </c>
      <c r="P155" s="141">
        <v>0.65</v>
      </c>
      <c r="Q155" s="140">
        <v>0.5</v>
      </c>
      <c r="R155" s="140"/>
      <c r="S155" s="140">
        <v>0.4</v>
      </c>
      <c r="T155" s="140">
        <v>55</v>
      </c>
      <c r="U155" s="111"/>
      <c r="V155" s="111"/>
      <c r="W155" s="109"/>
      <c r="X155" s="109"/>
      <c r="Y155" s="109"/>
      <c r="Z155" s="112"/>
      <c r="AA155" s="110"/>
      <c r="AB155" s="110"/>
    </row>
    <row r="156" spans="1:28" ht="16.5" customHeight="1">
      <c r="A156" s="140" t="s">
        <v>401</v>
      </c>
      <c r="B156" s="140">
        <v>91</v>
      </c>
      <c r="C156" s="140">
        <v>85</v>
      </c>
      <c r="D156" s="140">
        <v>93</v>
      </c>
      <c r="E156" s="140">
        <v>62</v>
      </c>
      <c r="F156" s="140">
        <v>88</v>
      </c>
      <c r="G156" s="140">
        <v>32</v>
      </c>
      <c r="H156" s="140">
        <v>62</v>
      </c>
      <c r="I156" s="140">
        <v>13</v>
      </c>
      <c r="J156" s="140">
        <v>22</v>
      </c>
      <c r="K156" s="140">
        <v>44</v>
      </c>
      <c r="L156" s="140">
        <v>4</v>
      </c>
      <c r="M156" s="140">
        <v>10</v>
      </c>
      <c r="N156" s="140">
        <v>3</v>
      </c>
      <c r="O156" s="141">
        <v>0.22</v>
      </c>
      <c r="P156" s="141">
        <v>0.63</v>
      </c>
      <c r="Q156" s="140">
        <v>0.3</v>
      </c>
      <c r="R156" s="140"/>
      <c r="S156" s="140">
        <v>0.45</v>
      </c>
      <c r="T156" s="140">
        <v>50</v>
      </c>
      <c r="U156" s="111"/>
      <c r="V156" s="111"/>
      <c r="W156" s="109"/>
      <c r="X156" s="109"/>
      <c r="Y156" s="109"/>
      <c r="Z156" s="112"/>
      <c r="AA156" s="110"/>
      <c r="AB156" s="110"/>
    </row>
    <row r="157" spans="1:28" ht="16.5" customHeight="1">
      <c r="A157" s="140" t="s">
        <v>402</v>
      </c>
      <c r="B157" s="140">
        <v>35</v>
      </c>
      <c r="C157" s="140">
        <v>89</v>
      </c>
      <c r="D157" s="140">
        <v>96</v>
      </c>
      <c r="E157" s="140">
        <v>64</v>
      </c>
      <c r="F157" s="140">
        <v>91</v>
      </c>
      <c r="G157" s="140">
        <v>31</v>
      </c>
      <c r="H157" s="140">
        <v>55</v>
      </c>
      <c r="I157" s="140">
        <v>13</v>
      </c>
      <c r="J157" s="140">
        <v>22</v>
      </c>
      <c r="K157" s="140">
        <v>44</v>
      </c>
      <c r="L157" s="140">
        <v>4</v>
      </c>
      <c r="M157" s="140">
        <v>10</v>
      </c>
      <c r="N157" s="140">
        <v>3</v>
      </c>
      <c r="O157" s="141">
        <v>0.22</v>
      </c>
      <c r="P157" s="141">
        <v>0.63</v>
      </c>
      <c r="Q157" s="140">
        <v>0.3</v>
      </c>
      <c r="R157" s="140"/>
      <c r="S157" s="140">
        <v>0.45</v>
      </c>
      <c r="T157" s="140">
        <v>50</v>
      </c>
      <c r="U157" s="111"/>
      <c r="V157" s="111"/>
      <c r="W157" s="109"/>
      <c r="X157" s="109"/>
      <c r="Y157" s="109"/>
      <c r="Z157" s="112"/>
      <c r="AA157" s="110"/>
      <c r="AB157" s="110"/>
    </row>
    <row r="158" spans="1:28" ht="16.5" customHeight="1">
      <c r="A158" s="140" t="s">
        <v>403</v>
      </c>
      <c r="B158" s="140">
        <v>25</v>
      </c>
      <c r="C158" s="140">
        <v>90</v>
      </c>
      <c r="D158" s="140">
        <v>100</v>
      </c>
      <c r="E158" s="140">
        <v>68</v>
      </c>
      <c r="F158" s="140">
        <v>94</v>
      </c>
      <c r="G158" s="140">
        <v>28</v>
      </c>
      <c r="H158" s="140">
        <v>52</v>
      </c>
      <c r="I158" s="140">
        <v>8</v>
      </c>
      <c r="J158" s="140">
        <v>18</v>
      </c>
      <c r="K158" s="140">
        <v>40</v>
      </c>
      <c r="L158" s="140">
        <v>4</v>
      </c>
      <c r="M158" s="140">
        <v>9.6</v>
      </c>
      <c r="N158" s="140">
        <v>6</v>
      </c>
      <c r="O158" s="141">
        <v>0.28</v>
      </c>
      <c r="P158" s="141">
        <v>0.78</v>
      </c>
      <c r="Q158" s="140">
        <v>1.2</v>
      </c>
      <c r="R158" s="140">
        <v>0.28</v>
      </c>
      <c r="S158" s="140">
        <v>0.4</v>
      </c>
      <c r="T158" s="140">
        <v>95</v>
      </c>
      <c r="U158" s="111"/>
      <c r="V158" s="111"/>
      <c r="W158" s="109"/>
      <c r="X158" s="109"/>
      <c r="Y158" s="109"/>
      <c r="Z158" s="112"/>
      <c r="AA158" s="110"/>
      <c r="AB158" s="110"/>
    </row>
    <row r="159" spans="1:28" ht="16.5" customHeight="1">
      <c r="A159" s="140" t="s">
        <v>32</v>
      </c>
      <c r="B159" s="140">
        <v>92</v>
      </c>
      <c r="C159" s="140">
        <v>55</v>
      </c>
      <c r="D159" s="140">
        <v>55</v>
      </c>
      <c r="E159" s="140">
        <v>21</v>
      </c>
      <c r="F159" s="140">
        <v>54</v>
      </c>
      <c r="G159" s="140">
        <v>9</v>
      </c>
      <c r="H159" s="140"/>
      <c r="I159" s="140">
        <v>24</v>
      </c>
      <c r="J159" s="140">
        <v>46</v>
      </c>
      <c r="K159" s="140">
        <v>63</v>
      </c>
      <c r="L159" s="140">
        <v>85</v>
      </c>
      <c r="M159" s="140">
        <v>2</v>
      </c>
      <c r="N159" s="140">
        <v>10</v>
      </c>
      <c r="O159" s="141">
        <v>0.35</v>
      </c>
      <c r="P159" s="141">
        <v>0.3</v>
      </c>
      <c r="Q159" s="140">
        <v>1.3</v>
      </c>
      <c r="R159" s="140"/>
      <c r="S159" s="140">
        <v>0.1</v>
      </c>
      <c r="T159" s="140"/>
      <c r="U159" s="111"/>
      <c r="V159" s="111"/>
      <c r="W159" s="109"/>
      <c r="X159" s="109"/>
      <c r="Y159" s="109"/>
      <c r="Z159" s="112"/>
      <c r="AA159" s="110"/>
      <c r="AB159" s="110"/>
    </row>
    <row r="160" spans="1:28" ht="16.5" customHeight="1">
      <c r="A160" s="140" t="s">
        <v>404</v>
      </c>
      <c r="B160" s="140">
        <v>99</v>
      </c>
      <c r="C160" s="140">
        <v>195</v>
      </c>
      <c r="D160" s="140">
        <v>285</v>
      </c>
      <c r="E160" s="140">
        <v>230</v>
      </c>
      <c r="F160" s="140">
        <v>285</v>
      </c>
      <c r="G160" s="140">
        <v>0</v>
      </c>
      <c r="H160" s="140"/>
      <c r="I160" s="140">
        <v>0</v>
      </c>
      <c r="J160" s="140">
        <v>0</v>
      </c>
      <c r="K160" s="140">
        <v>0</v>
      </c>
      <c r="L160" s="140">
        <v>0</v>
      </c>
      <c r="M160" s="140">
        <v>99</v>
      </c>
      <c r="N160" s="140">
        <v>0</v>
      </c>
      <c r="O160" s="141">
        <v>0</v>
      </c>
      <c r="P160" s="141">
        <v>0</v>
      </c>
      <c r="Q160" s="140">
        <v>0</v>
      </c>
      <c r="R160" s="140"/>
      <c r="S160" s="140"/>
      <c r="T160" s="140"/>
      <c r="U160" s="111"/>
      <c r="V160" s="111"/>
      <c r="W160" s="109"/>
      <c r="X160" s="109"/>
      <c r="Y160" s="109"/>
      <c r="Z160" s="112"/>
      <c r="AA160" s="110"/>
      <c r="AB160" s="110"/>
    </row>
    <row r="161" spans="1:28" ht="16.5" customHeight="1">
      <c r="A161" s="140" t="s">
        <v>33</v>
      </c>
      <c r="B161" s="140">
        <v>93</v>
      </c>
      <c r="C161" s="140">
        <v>69</v>
      </c>
      <c r="D161" s="140">
        <v>71</v>
      </c>
      <c r="E161" s="140">
        <v>43</v>
      </c>
      <c r="F161" s="140">
        <v>70</v>
      </c>
      <c r="G161" s="140">
        <v>87</v>
      </c>
      <c r="H161" s="140">
        <v>68</v>
      </c>
      <c r="I161" s="140">
        <v>2</v>
      </c>
      <c r="J161" s="140">
        <v>16</v>
      </c>
      <c r="K161" s="140">
        <v>44</v>
      </c>
      <c r="L161" s="140">
        <v>23</v>
      </c>
      <c r="M161" s="140">
        <v>8</v>
      </c>
      <c r="N161" s="140">
        <v>2</v>
      </c>
      <c r="O161" s="141">
        <v>0.54</v>
      </c>
      <c r="P161" s="141">
        <v>0.39</v>
      </c>
      <c r="Q161" s="140">
        <v>0.1</v>
      </c>
      <c r="R161" s="140">
        <v>0.2</v>
      </c>
      <c r="S161" s="140">
        <v>1.82</v>
      </c>
      <c r="T161" s="140">
        <v>90</v>
      </c>
      <c r="U161" s="111"/>
      <c r="V161" s="111"/>
      <c r="W161" s="109"/>
      <c r="X161" s="109"/>
      <c r="Y161" s="109"/>
      <c r="Z161" s="112"/>
      <c r="AA161" s="110"/>
      <c r="AB161" s="110"/>
    </row>
    <row r="162" spans="1:28" ht="16.5" customHeight="1">
      <c r="A162" s="140" t="s">
        <v>405</v>
      </c>
      <c r="B162" s="140">
        <v>94</v>
      </c>
      <c r="C162" s="140">
        <v>43</v>
      </c>
      <c r="D162" s="140">
        <v>44</v>
      </c>
      <c r="E162" s="140">
        <v>0</v>
      </c>
      <c r="F162" s="140">
        <v>41</v>
      </c>
      <c r="G162" s="140">
        <v>4</v>
      </c>
      <c r="H162" s="140"/>
      <c r="I162" s="140">
        <v>41</v>
      </c>
      <c r="J162" s="140"/>
      <c r="K162" s="140"/>
      <c r="L162" s="140"/>
      <c r="M162" s="140">
        <v>1.1</v>
      </c>
      <c r="N162" s="140">
        <v>6</v>
      </c>
      <c r="O162" s="141">
        <v>0</v>
      </c>
      <c r="P162" s="141">
        <v>0.06</v>
      </c>
      <c r="Q162" s="140"/>
      <c r="R162" s="140"/>
      <c r="S162" s="140"/>
      <c r="T162" s="140"/>
      <c r="U162" s="111"/>
      <c r="V162" s="111"/>
      <c r="W162" s="109"/>
      <c r="X162" s="109"/>
      <c r="Y162" s="109"/>
      <c r="Z162" s="112"/>
      <c r="AA162" s="110"/>
      <c r="AB162" s="110"/>
    </row>
    <row r="163" spans="1:28" ht="16.5" customHeight="1">
      <c r="A163" s="140" t="s">
        <v>34</v>
      </c>
      <c r="B163" s="140">
        <v>29</v>
      </c>
      <c r="C163" s="140">
        <v>64</v>
      </c>
      <c r="D163" s="140">
        <v>65</v>
      </c>
      <c r="E163" s="140">
        <v>36</v>
      </c>
      <c r="F163" s="140">
        <v>65</v>
      </c>
      <c r="G163" s="140">
        <v>15</v>
      </c>
      <c r="H163" s="140">
        <v>20</v>
      </c>
      <c r="I163" s="140">
        <v>25</v>
      </c>
      <c r="J163" s="140">
        <v>32</v>
      </c>
      <c r="K163" s="140">
        <v>64</v>
      </c>
      <c r="L163" s="140">
        <v>40</v>
      </c>
      <c r="M163" s="140">
        <v>5.5</v>
      </c>
      <c r="N163" s="140">
        <v>9</v>
      </c>
      <c r="O163" s="141">
        <v>0.48</v>
      </c>
      <c r="P163" s="141">
        <v>0.37</v>
      </c>
      <c r="Q163" s="140">
        <v>2.5</v>
      </c>
      <c r="R163" s="140"/>
      <c r="S163" s="140">
        <v>0.18</v>
      </c>
      <c r="T163" s="140">
        <v>22</v>
      </c>
      <c r="U163" s="111"/>
      <c r="V163" s="111"/>
      <c r="W163" s="109"/>
      <c r="X163" s="109"/>
      <c r="Y163" s="109"/>
      <c r="Z163" s="112"/>
      <c r="AA163" s="110"/>
      <c r="AB163" s="110"/>
    </row>
    <row r="164" spans="1:28" ht="16.5" customHeight="1">
      <c r="A164" s="140" t="s">
        <v>35</v>
      </c>
      <c r="B164" s="140">
        <v>88</v>
      </c>
      <c r="C164" s="140">
        <v>65</v>
      </c>
      <c r="D164" s="140">
        <v>66</v>
      </c>
      <c r="E164" s="140">
        <v>37</v>
      </c>
      <c r="F164" s="140">
        <v>66</v>
      </c>
      <c r="G164" s="140">
        <v>18</v>
      </c>
      <c r="H164" s="140">
        <v>22</v>
      </c>
      <c r="I164" s="140">
        <v>25</v>
      </c>
      <c r="J164" s="140">
        <v>31</v>
      </c>
      <c r="K164" s="140">
        <v>64</v>
      </c>
      <c r="L164" s="140">
        <v>98</v>
      </c>
      <c r="M164" s="140">
        <v>6.6</v>
      </c>
      <c r="N164" s="140">
        <v>8</v>
      </c>
      <c r="O164" s="141">
        <v>0.48</v>
      </c>
      <c r="P164" s="141">
        <v>0.36</v>
      </c>
      <c r="Q164" s="140">
        <v>2.6</v>
      </c>
      <c r="R164" s="140"/>
      <c r="S164" s="140">
        <v>0.27</v>
      </c>
      <c r="T164" s="140">
        <v>24</v>
      </c>
      <c r="U164" s="111"/>
      <c r="V164" s="111"/>
      <c r="W164" s="109"/>
      <c r="X164" s="109"/>
      <c r="Y164" s="109"/>
      <c r="Z164" s="112"/>
      <c r="AA164" s="110"/>
      <c r="AB164" s="110"/>
    </row>
    <row r="165" spans="1:28" ht="16.5" customHeight="1">
      <c r="A165" s="140" t="s">
        <v>36</v>
      </c>
      <c r="B165" s="140">
        <v>88</v>
      </c>
      <c r="C165" s="140">
        <v>52</v>
      </c>
      <c r="D165" s="140">
        <v>52</v>
      </c>
      <c r="E165" s="140">
        <v>16</v>
      </c>
      <c r="F165" s="140">
        <v>51</v>
      </c>
      <c r="G165" s="140">
        <v>11</v>
      </c>
      <c r="H165" s="140">
        <v>30</v>
      </c>
      <c r="I165" s="140">
        <v>30</v>
      </c>
      <c r="J165" s="140">
        <v>42</v>
      </c>
      <c r="K165" s="140">
        <v>73</v>
      </c>
      <c r="L165" s="140">
        <v>98</v>
      </c>
      <c r="M165" s="140">
        <v>5</v>
      </c>
      <c r="N165" s="140">
        <v>6</v>
      </c>
      <c r="O165" s="141">
        <v>0.45</v>
      </c>
      <c r="P165" s="141">
        <v>0.26</v>
      </c>
      <c r="Q165" s="140">
        <v>1.7</v>
      </c>
      <c r="R165" s="140"/>
      <c r="S165" s="140">
        <v>0.14</v>
      </c>
      <c r="T165" s="140">
        <v>22</v>
      </c>
      <c r="U165" s="111"/>
      <c r="V165" s="111"/>
      <c r="W165" s="109"/>
      <c r="X165" s="109"/>
      <c r="Y165" s="109"/>
      <c r="Z165" s="112"/>
      <c r="AA165" s="110"/>
      <c r="AB165" s="110"/>
    </row>
    <row r="166" spans="1:28" ht="16.5" customHeight="1">
      <c r="A166" s="140" t="s">
        <v>282</v>
      </c>
      <c r="B166" s="140">
        <v>90</v>
      </c>
      <c r="C166" s="140">
        <v>74</v>
      </c>
      <c r="D166" s="140">
        <v>78</v>
      </c>
      <c r="E166" s="140">
        <v>49</v>
      </c>
      <c r="F166" s="140">
        <v>76</v>
      </c>
      <c r="G166" s="140">
        <v>66</v>
      </c>
      <c r="H166" s="140">
        <v>60</v>
      </c>
      <c r="I166" s="140">
        <v>1</v>
      </c>
      <c r="J166" s="140">
        <v>2</v>
      </c>
      <c r="K166" s="140">
        <v>12</v>
      </c>
      <c r="L166" s="140">
        <v>10</v>
      </c>
      <c r="M166" s="140">
        <v>8</v>
      </c>
      <c r="N166" s="140">
        <v>20</v>
      </c>
      <c r="O166" s="141">
        <v>5.5</v>
      </c>
      <c r="P166" s="141">
        <v>3.15</v>
      </c>
      <c r="Q166" s="140">
        <v>0.7</v>
      </c>
      <c r="R166" s="140">
        <v>0.76</v>
      </c>
      <c r="S166" s="140">
        <v>0.8</v>
      </c>
      <c r="T166" s="140">
        <v>130</v>
      </c>
      <c r="U166" s="111"/>
      <c r="V166" s="111"/>
      <c r="W166" s="109"/>
      <c r="X166" s="109"/>
      <c r="Y166" s="109"/>
      <c r="Z166" s="112"/>
      <c r="AA166" s="110"/>
      <c r="AB166" s="110"/>
    </row>
    <row r="167" spans="1:28" ht="16.5" customHeight="1">
      <c r="A167" s="140" t="s">
        <v>37</v>
      </c>
      <c r="B167" s="140">
        <v>23</v>
      </c>
      <c r="C167" s="140">
        <v>80</v>
      </c>
      <c r="D167" s="140">
        <v>86</v>
      </c>
      <c r="E167" s="140">
        <v>56</v>
      </c>
      <c r="F167" s="140">
        <v>83</v>
      </c>
      <c r="G167" s="140">
        <v>16</v>
      </c>
      <c r="H167" s="140"/>
      <c r="I167" s="140">
        <v>9</v>
      </c>
      <c r="J167" s="140">
        <v>50</v>
      </c>
      <c r="K167" s="140">
        <v>59</v>
      </c>
      <c r="L167" s="140">
        <v>30</v>
      </c>
      <c r="M167" s="140">
        <v>20</v>
      </c>
      <c r="N167" s="140">
        <v>10</v>
      </c>
      <c r="O167" s="141">
        <v>1.2</v>
      </c>
      <c r="P167" s="141">
        <v>0.43</v>
      </c>
      <c r="Q167" s="140">
        <v>0.6</v>
      </c>
      <c r="R167" s="140">
        <v>0.67</v>
      </c>
      <c r="S167" s="140"/>
      <c r="T167" s="140"/>
      <c r="U167" s="111"/>
      <c r="V167" s="111"/>
      <c r="W167" s="109"/>
      <c r="X167" s="109"/>
      <c r="Y167" s="109"/>
      <c r="Z167" s="112"/>
      <c r="AA167" s="110"/>
      <c r="AB167" s="110"/>
    </row>
    <row r="168" spans="1:28" ht="16.5" customHeight="1">
      <c r="A168" s="140" t="s">
        <v>281</v>
      </c>
      <c r="B168" s="140">
        <v>92</v>
      </c>
      <c r="C168" s="140">
        <v>73</v>
      </c>
      <c r="D168" s="140">
        <v>77</v>
      </c>
      <c r="E168" s="140">
        <v>48</v>
      </c>
      <c r="F168" s="140">
        <v>75</v>
      </c>
      <c r="G168" s="140">
        <v>10</v>
      </c>
      <c r="H168" s="140"/>
      <c r="I168" s="140">
        <v>11</v>
      </c>
      <c r="J168" s="140"/>
      <c r="K168" s="140"/>
      <c r="L168" s="140"/>
      <c r="M168" s="140">
        <v>2.2</v>
      </c>
      <c r="N168" s="140">
        <v>10</v>
      </c>
      <c r="O168" s="141">
        <v>0.3</v>
      </c>
      <c r="P168" s="141">
        <v>0.18</v>
      </c>
      <c r="Q168" s="140"/>
      <c r="R168" s="140"/>
      <c r="S168" s="140"/>
      <c r="T168" s="140">
        <v>42</v>
      </c>
      <c r="U168" s="111"/>
      <c r="V168" s="111"/>
      <c r="W168" s="109"/>
      <c r="X168" s="109"/>
      <c r="Y168" s="109"/>
      <c r="Z168" s="112"/>
      <c r="AA168" s="110"/>
      <c r="AB168" s="110"/>
    </row>
    <row r="169" spans="1:28" ht="16.5" customHeight="1">
      <c r="A169" s="140" t="s">
        <v>406</v>
      </c>
      <c r="B169" s="140">
        <v>90</v>
      </c>
      <c r="C169" s="140">
        <v>65</v>
      </c>
      <c r="D169" s="140">
        <v>66</v>
      </c>
      <c r="E169" s="140">
        <v>37</v>
      </c>
      <c r="F169" s="140">
        <v>66</v>
      </c>
      <c r="G169" s="140">
        <v>14</v>
      </c>
      <c r="H169" s="140"/>
      <c r="I169" s="140">
        <v>14</v>
      </c>
      <c r="J169" s="140"/>
      <c r="K169" s="140"/>
      <c r="L169" s="140"/>
      <c r="M169" s="140">
        <v>5.5</v>
      </c>
      <c r="N169" s="140">
        <v>9</v>
      </c>
      <c r="O169" s="141">
        <v>0.25</v>
      </c>
      <c r="P169" s="141">
        <v>0.34</v>
      </c>
      <c r="Q169" s="140"/>
      <c r="R169" s="140"/>
      <c r="S169" s="140"/>
      <c r="T169" s="140">
        <v>30</v>
      </c>
      <c r="U169" s="111"/>
      <c r="V169" s="111"/>
      <c r="W169" s="109"/>
      <c r="X169" s="109"/>
      <c r="Y169" s="109"/>
      <c r="Z169" s="112"/>
      <c r="AA169" s="110"/>
      <c r="AB169" s="110"/>
    </row>
    <row r="170" spans="1:28" ht="16.5" customHeight="1">
      <c r="A170" s="140" t="s">
        <v>38</v>
      </c>
      <c r="B170" s="140">
        <v>91</v>
      </c>
      <c r="C170" s="140">
        <v>30</v>
      </c>
      <c r="D170" s="140">
        <v>38</v>
      </c>
      <c r="E170" s="140">
        <v>0</v>
      </c>
      <c r="F170" s="140">
        <v>27</v>
      </c>
      <c r="G170" s="140">
        <v>12</v>
      </c>
      <c r="H170" s="140">
        <v>45</v>
      </c>
      <c r="I170" s="140">
        <v>32</v>
      </c>
      <c r="J170" s="140">
        <v>48</v>
      </c>
      <c r="K170" s="140">
        <v>53</v>
      </c>
      <c r="L170" s="140">
        <v>34</v>
      </c>
      <c r="M170" s="140">
        <v>7.5</v>
      </c>
      <c r="N170" s="140">
        <v>9</v>
      </c>
      <c r="O170" s="141">
        <v>0.5</v>
      </c>
      <c r="P170" s="141">
        <v>0.08</v>
      </c>
      <c r="Q170" s="140">
        <v>0.5</v>
      </c>
      <c r="R170" s="140">
        <v>0.01</v>
      </c>
      <c r="S170" s="140"/>
      <c r="T170" s="140">
        <v>24</v>
      </c>
      <c r="U170" s="111"/>
      <c r="V170" s="111"/>
      <c r="W170" s="109"/>
      <c r="X170" s="109"/>
      <c r="Y170" s="109"/>
      <c r="Z170" s="112"/>
      <c r="AA170" s="110"/>
      <c r="AB170" s="110"/>
    </row>
    <row r="171" spans="1:28" ht="16.5" customHeight="1">
      <c r="A171" s="140" t="s">
        <v>546</v>
      </c>
      <c r="B171" s="140">
        <v>88</v>
      </c>
      <c r="C171" s="140">
        <v>58</v>
      </c>
      <c r="D171" s="140">
        <v>58</v>
      </c>
      <c r="E171" s="140">
        <v>26</v>
      </c>
      <c r="F171" s="140">
        <v>58</v>
      </c>
      <c r="G171" s="140">
        <v>10</v>
      </c>
      <c r="H171" s="140">
        <v>30</v>
      </c>
      <c r="I171" s="140">
        <v>33</v>
      </c>
      <c r="J171" s="140">
        <v>41</v>
      </c>
      <c r="K171" s="140">
        <v>63</v>
      </c>
      <c r="L171" s="140">
        <v>98</v>
      </c>
      <c r="M171" s="140">
        <v>3</v>
      </c>
      <c r="N171" s="140">
        <v>6</v>
      </c>
      <c r="O171" s="141">
        <v>0.6</v>
      </c>
      <c r="P171" s="141">
        <v>0.21</v>
      </c>
      <c r="Q171" s="140">
        <v>2</v>
      </c>
      <c r="R171" s="140"/>
      <c r="S171" s="140">
        <v>0.2</v>
      </c>
      <c r="T171" s="140">
        <v>28</v>
      </c>
      <c r="U171" s="111"/>
      <c r="V171" s="111"/>
      <c r="W171" s="109"/>
      <c r="X171" s="109"/>
      <c r="Y171" s="109"/>
      <c r="Z171" s="112"/>
      <c r="AA171" s="110"/>
      <c r="AB171" s="110"/>
    </row>
    <row r="172" spans="1:28" ht="16.5" customHeight="1">
      <c r="A172" s="140" t="s">
        <v>283</v>
      </c>
      <c r="B172" s="140">
        <v>30</v>
      </c>
      <c r="C172" s="140">
        <v>61</v>
      </c>
      <c r="D172" s="140">
        <v>62</v>
      </c>
      <c r="E172" s="140">
        <v>31</v>
      </c>
      <c r="F172" s="140">
        <v>61</v>
      </c>
      <c r="G172" s="140">
        <v>11</v>
      </c>
      <c r="H172" s="140">
        <v>24</v>
      </c>
      <c r="I172" s="140">
        <v>32</v>
      </c>
      <c r="J172" s="140">
        <v>39</v>
      </c>
      <c r="K172" s="140">
        <v>60</v>
      </c>
      <c r="L172" s="140">
        <v>61</v>
      </c>
      <c r="M172" s="140">
        <v>3.4</v>
      </c>
      <c r="N172" s="140">
        <v>8</v>
      </c>
      <c r="O172" s="141">
        <v>0.7</v>
      </c>
      <c r="P172" s="141">
        <v>0.24</v>
      </c>
      <c r="Q172" s="140">
        <v>2.1</v>
      </c>
      <c r="R172" s="140"/>
      <c r="S172" s="140">
        <v>0.22</v>
      </c>
      <c r="T172" s="140">
        <v>29</v>
      </c>
      <c r="U172" s="111"/>
      <c r="V172" s="111"/>
      <c r="W172" s="109"/>
      <c r="X172" s="109"/>
      <c r="Y172" s="109"/>
      <c r="Z172" s="112"/>
      <c r="AA172" s="110"/>
      <c r="AB172" s="110"/>
    </row>
    <row r="173" spans="1:28" ht="16.5" customHeight="1">
      <c r="A173" s="140" t="s">
        <v>284</v>
      </c>
      <c r="B173" s="140">
        <v>90</v>
      </c>
      <c r="C173" s="140">
        <v>72</v>
      </c>
      <c r="D173" s="140">
        <v>75</v>
      </c>
      <c r="E173" s="140">
        <v>47</v>
      </c>
      <c r="F173" s="140">
        <v>74</v>
      </c>
      <c r="G173" s="140">
        <v>39</v>
      </c>
      <c r="H173" s="140">
        <v>34</v>
      </c>
      <c r="I173" s="140">
        <v>16</v>
      </c>
      <c r="J173" s="140"/>
      <c r="K173" s="140"/>
      <c r="L173" s="140"/>
      <c r="M173" s="140">
        <v>3.9</v>
      </c>
      <c r="N173" s="140">
        <v>5</v>
      </c>
      <c r="O173" s="141"/>
      <c r="P173" s="141"/>
      <c r="Q173" s="140"/>
      <c r="R173" s="140"/>
      <c r="S173" s="140"/>
      <c r="T173" s="140"/>
      <c r="U173" s="111"/>
      <c r="V173" s="111"/>
      <c r="W173" s="109"/>
      <c r="X173" s="109"/>
      <c r="Y173" s="109"/>
      <c r="Z173" s="112"/>
      <c r="AA173" s="110"/>
      <c r="AB173" s="110"/>
    </row>
    <row r="174" spans="1:28" ht="16.5" customHeight="1">
      <c r="A174" s="140" t="s">
        <v>285</v>
      </c>
      <c r="B174" s="140">
        <v>90</v>
      </c>
      <c r="C174" s="140">
        <v>89</v>
      </c>
      <c r="D174" s="140">
        <v>99</v>
      </c>
      <c r="E174" s="140">
        <v>67</v>
      </c>
      <c r="F174" s="140">
        <v>93</v>
      </c>
      <c r="G174" s="140">
        <v>11</v>
      </c>
      <c r="H174" s="140">
        <v>48</v>
      </c>
      <c r="I174" s="140">
        <v>5</v>
      </c>
      <c r="J174" s="140">
        <v>7</v>
      </c>
      <c r="K174" s="140">
        <v>21</v>
      </c>
      <c r="L174" s="140">
        <v>9</v>
      </c>
      <c r="M174" s="140">
        <v>6.1</v>
      </c>
      <c r="N174" s="140">
        <v>3</v>
      </c>
      <c r="O174" s="141">
        <v>0.04</v>
      </c>
      <c r="P174" s="141">
        <v>0.54</v>
      </c>
      <c r="Q174" s="140">
        <v>0.6</v>
      </c>
      <c r="R174" s="140">
        <v>0.06</v>
      </c>
      <c r="S174" s="140">
        <v>0.1</v>
      </c>
      <c r="T174" s="140">
        <v>32</v>
      </c>
      <c r="U174" s="111"/>
      <c r="V174" s="111"/>
      <c r="W174" s="109"/>
      <c r="X174" s="109"/>
      <c r="Y174" s="109"/>
      <c r="Z174" s="112"/>
      <c r="AA174" s="110"/>
      <c r="AB174" s="110"/>
    </row>
    <row r="175" spans="1:28" ht="16.5" customHeight="1">
      <c r="A175" s="140" t="s">
        <v>286</v>
      </c>
      <c r="B175" s="140">
        <v>37</v>
      </c>
      <c r="C175" s="140">
        <v>49</v>
      </c>
      <c r="D175" s="140">
        <v>49</v>
      </c>
      <c r="E175" s="140">
        <v>11</v>
      </c>
      <c r="F175" s="140">
        <v>48</v>
      </c>
      <c r="G175" s="140">
        <v>15</v>
      </c>
      <c r="H175" s="140"/>
      <c r="I175" s="140">
        <v>15</v>
      </c>
      <c r="J175" s="140"/>
      <c r="K175" s="140"/>
      <c r="L175" s="140"/>
      <c r="M175" s="140">
        <v>3.6</v>
      </c>
      <c r="N175" s="140">
        <v>35</v>
      </c>
      <c r="O175" s="141">
        <v>2.8</v>
      </c>
      <c r="P175" s="141">
        <v>0.64</v>
      </c>
      <c r="Q175" s="140"/>
      <c r="R175" s="140"/>
      <c r="S175" s="140"/>
      <c r="T175" s="140"/>
      <c r="U175" s="111"/>
      <c r="V175" s="111"/>
      <c r="W175" s="109"/>
      <c r="X175" s="109"/>
      <c r="Y175" s="109"/>
      <c r="Z175" s="112"/>
      <c r="AA175" s="110"/>
      <c r="AB175" s="110"/>
    </row>
    <row r="176" spans="1:28" ht="16.5" customHeight="1">
      <c r="A176" s="140" t="s">
        <v>39</v>
      </c>
      <c r="B176" s="140">
        <v>30</v>
      </c>
      <c r="C176" s="140">
        <v>53</v>
      </c>
      <c r="D176" s="140">
        <v>53</v>
      </c>
      <c r="E176" s="140">
        <v>18</v>
      </c>
      <c r="F176" s="140">
        <v>53</v>
      </c>
      <c r="G176" s="140">
        <v>15</v>
      </c>
      <c r="H176" s="140"/>
      <c r="I176" s="140">
        <v>21</v>
      </c>
      <c r="J176" s="140">
        <v>24</v>
      </c>
      <c r="K176" s="140"/>
      <c r="L176" s="140"/>
      <c r="M176" s="140">
        <v>3.1</v>
      </c>
      <c r="N176" s="140">
        <v>20</v>
      </c>
      <c r="O176" s="141">
        <v>3.3</v>
      </c>
      <c r="P176" s="141">
        <v>0.37</v>
      </c>
      <c r="Q176" s="140">
        <v>1.8</v>
      </c>
      <c r="R176" s="140"/>
      <c r="S176" s="140">
        <v>0.22</v>
      </c>
      <c r="T176" s="140">
        <v>44</v>
      </c>
      <c r="U176" s="111"/>
      <c r="V176" s="111"/>
      <c r="W176" s="109"/>
      <c r="X176" s="109"/>
      <c r="Y176" s="109"/>
      <c r="Z176" s="112"/>
      <c r="AA176" s="110"/>
      <c r="AB176" s="110"/>
    </row>
    <row r="177" spans="1:28" ht="16.5" customHeight="1">
      <c r="A177" s="140" t="s">
        <v>40</v>
      </c>
      <c r="B177" s="140">
        <v>89</v>
      </c>
      <c r="C177" s="140">
        <v>37</v>
      </c>
      <c r="D177" s="140">
        <v>40</v>
      </c>
      <c r="E177" s="140">
        <v>0</v>
      </c>
      <c r="F177" s="140">
        <v>35</v>
      </c>
      <c r="G177" s="140">
        <v>23</v>
      </c>
      <c r="H177" s="140"/>
      <c r="I177" s="140">
        <v>26</v>
      </c>
      <c r="J177" s="140">
        <v>30</v>
      </c>
      <c r="K177" s="140"/>
      <c r="L177" s="140"/>
      <c r="M177" s="140">
        <v>4.5</v>
      </c>
      <c r="N177" s="140">
        <v>7</v>
      </c>
      <c r="O177" s="141">
        <v>1.6</v>
      </c>
      <c r="P177" s="141">
        <v>0.6</v>
      </c>
      <c r="Q177" s="140"/>
      <c r="R177" s="140"/>
      <c r="S177" s="140"/>
      <c r="T177" s="140"/>
      <c r="U177" s="111"/>
      <c r="V177" s="111"/>
      <c r="W177" s="109"/>
      <c r="X177" s="109"/>
      <c r="Y177" s="109"/>
      <c r="Z177" s="112"/>
      <c r="AA177" s="110"/>
      <c r="AB177" s="110"/>
    </row>
    <row r="178" spans="1:28" ht="16.5" customHeight="1">
      <c r="A178" s="140" t="s">
        <v>41</v>
      </c>
      <c r="B178" s="140">
        <v>91</v>
      </c>
      <c r="C178" s="140">
        <v>32</v>
      </c>
      <c r="D178" s="140">
        <v>38</v>
      </c>
      <c r="E178" s="140">
        <v>0</v>
      </c>
      <c r="F178" s="140">
        <v>29</v>
      </c>
      <c r="G178" s="140">
        <v>7</v>
      </c>
      <c r="H178" s="140"/>
      <c r="I178" s="140">
        <v>7</v>
      </c>
      <c r="J178" s="140">
        <v>10</v>
      </c>
      <c r="K178" s="140"/>
      <c r="L178" s="140"/>
      <c r="M178" s="140">
        <v>0.5</v>
      </c>
      <c r="N178" s="140">
        <v>39</v>
      </c>
      <c r="O178" s="141">
        <v>2.72</v>
      </c>
      <c r="P178" s="141">
        <v>0.31</v>
      </c>
      <c r="Q178" s="140"/>
      <c r="R178" s="140"/>
      <c r="S178" s="140"/>
      <c r="T178" s="140"/>
      <c r="U178" s="111"/>
      <c r="V178" s="111"/>
      <c r="W178" s="109"/>
      <c r="X178" s="109"/>
      <c r="Y178" s="109"/>
      <c r="Z178" s="112"/>
      <c r="AA178" s="110"/>
      <c r="AB178" s="110"/>
    </row>
    <row r="179" spans="1:28" ht="16.5" customHeight="1">
      <c r="A179" s="140" t="s">
        <v>42</v>
      </c>
      <c r="B179" s="140">
        <v>92</v>
      </c>
      <c r="C179" s="140">
        <v>48</v>
      </c>
      <c r="D179" s="140">
        <v>48</v>
      </c>
      <c r="E179" s="140">
        <v>9</v>
      </c>
      <c r="F179" s="140">
        <v>47</v>
      </c>
      <c r="G179" s="140">
        <v>10</v>
      </c>
      <c r="H179" s="140"/>
      <c r="I179" s="140">
        <v>31</v>
      </c>
      <c r="J179" s="140">
        <v>44</v>
      </c>
      <c r="K179" s="140">
        <v>56</v>
      </c>
      <c r="L179" s="140">
        <v>98</v>
      </c>
      <c r="M179" s="140">
        <v>2.9</v>
      </c>
      <c r="N179" s="140">
        <v>12</v>
      </c>
      <c r="O179" s="141"/>
      <c r="P179" s="141"/>
      <c r="Q179" s="140"/>
      <c r="R179" s="140"/>
      <c r="S179" s="140"/>
      <c r="T179" s="140"/>
      <c r="U179" s="111"/>
      <c r="V179" s="111"/>
      <c r="W179" s="109"/>
      <c r="X179" s="109"/>
      <c r="Y179" s="109"/>
      <c r="Z179" s="112"/>
      <c r="AA179" s="110"/>
      <c r="AB179" s="110"/>
    </row>
    <row r="180" spans="1:28" ht="16.5" customHeight="1">
      <c r="A180" s="140" t="s">
        <v>43</v>
      </c>
      <c r="B180" s="140">
        <v>29</v>
      </c>
      <c r="C180" s="140">
        <v>55</v>
      </c>
      <c r="D180" s="140">
        <v>55</v>
      </c>
      <c r="E180" s="140">
        <v>21</v>
      </c>
      <c r="F180" s="140">
        <v>55</v>
      </c>
      <c r="G180" s="140">
        <v>16</v>
      </c>
      <c r="H180" s="140"/>
      <c r="I180" s="140">
        <v>23</v>
      </c>
      <c r="J180" s="140"/>
      <c r="K180" s="140"/>
      <c r="L180" s="140"/>
      <c r="M180" s="140">
        <v>1.2</v>
      </c>
      <c r="N180" s="140">
        <v>18</v>
      </c>
      <c r="O180" s="141">
        <v>1.1</v>
      </c>
      <c r="P180" s="141">
        <v>0.3</v>
      </c>
      <c r="Q180" s="140"/>
      <c r="R180" s="140"/>
      <c r="S180" s="140"/>
      <c r="T180" s="140"/>
      <c r="U180" s="111"/>
      <c r="V180" s="111"/>
      <c r="W180" s="109"/>
      <c r="X180" s="109"/>
      <c r="Y180" s="109"/>
      <c r="Z180" s="112"/>
      <c r="AA180" s="110"/>
      <c r="AB180" s="110"/>
    </row>
    <row r="181" spans="1:28" ht="16.5" customHeight="1">
      <c r="A181" s="140" t="s">
        <v>44</v>
      </c>
      <c r="B181" s="140">
        <v>90</v>
      </c>
      <c r="C181" s="140">
        <v>53</v>
      </c>
      <c r="D181" s="140">
        <v>53</v>
      </c>
      <c r="E181" s="140">
        <v>18</v>
      </c>
      <c r="F181" s="140">
        <v>53</v>
      </c>
      <c r="G181" s="140">
        <v>14</v>
      </c>
      <c r="H181" s="140"/>
      <c r="I181" s="140">
        <v>27</v>
      </c>
      <c r="J181" s="140"/>
      <c r="K181" s="140"/>
      <c r="L181" s="140"/>
      <c r="M181" s="140">
        <v>1.7</v>
      </c>
      <c r="N181" s="140">
        <v>14</v>
      </c>
      <c r="O181" s="141">
        <v>1</v>
      </c>
      <c r="P181" s="141">
        <v>0.2</v>
      </c>
      <c r="Q181" s="140"/>
      <c r="R181" s="140"/>
      <c r="S181" s="140"/>
      <c r="T181" s="140"/>
      <c r="U181" s="111"/>
      <c r="V181" s="111"/>
      <c r="W181" s="109"/>
      <c r="X181" s="109"/>
      <c r="Y181" s="109"/>
      <c r="Z181" s="112"/>
      <c r="AA181" s="110"/>
      <c r="AB181" s="110"/>
    </row>
    <row r="182" spans="1:28" ht="16.5" customHeight="1">
      <c r="A182" s="140" t="s">
        <v>397</v>
      </c>
      <c r="B182" s="140">
        <v>90</v>
      </c>
      <c r="C182" s="140">
        <v>54</v>
      </c>
      <c r="D182" s="140">
        <v>54</v>
      </c>
      <c r="E182" s="140">
        <v>20</v>
      </c>
      <c r="F182" s="140">
        <v>54</v>
      </c>
      <c r="G182" s="140">
        <v>16</v>
      </c>
      <c r="H182" s="140"/>
      <c r="I182" s="140">
        <v>33</v>
      </c>
      <c r="J182" s="140"/>
      <c r="K182" s="140"/>
      <c r="L182" s="140"/>
      <c r="M182" s="140">
        <v>2.6</v>
      </c>
      <c r="N182" s="140">
        <v>7</v>
      </c>
      <c r="O182" s="141">
        <v>3</v>
      </c>
      <c r="P182" s="141">
        <v>0.23</v>
      </c>
      <c r="Q182" s="140"/>
      <c r="R182" s="140"/>
      <c r="S182" s="140"/>
      <c r="T182" s="140"/>
      <c r="U182" s="111"/>
      <c r="V182" s="111"/>
      <c r="W182" s="109"/>
      <c r="X182" s="109"/>
      <c r="Y182" s="109"/>
      <c r="Z182" s="112"/>
      <c r="AA182" s="110"/>
      <c r="AB182" s="110"/>
    </row>
    <row r="183" spans="1:28" ht="16.5" customHeight="1">
      <c r="A183" s="140" t="s">
        <v>45</v>
      </c>
      <c r="B183" s="140">
        <v>25</v>
      </c>
      <c r="C183" s="140">
        <v>60</v>
      </c>
      <c r="D183" s="140">
        <v>60</v>
      </c>
      <c r="E183" s="140">
        <v>30</v>
      </c>
      <c r="F183" s="140">
        <v>60</v>
      </c>
      <c r="G183" s="140">
        <v>16</v>
      </c>
      <c r="H183" s="140">
        <v>50</v>
      </c>
      <c r="I183" s="140">
        <v>32</v>
      </c>
      <c r="J183" s="140"/>
      <c r="K183" s="140"/>
      <c r="L183" s="140"/>
      <c r="M183" s="140">
        <v>2</v>
      </c>
      <c r="N183" s="140">
        <v>10</v>
      </c>
      <c r="O183" s="141">
        <v>1.2</v>
      </c>
      <c r="P183" s="141">
        <v>0.24</v>
      </c>
      <c r="Q183" s="140">
        <v>1.1</v>
      </c>
      <c r="R183" s="140"/>
      <c r="S183" s="140">
        <v>0.21</v>
      </c>
      <c r="T183" s="140"/>
      <c r="U183" s="111"/>
      <c r="V183" s="111"/>
      <c r="W183" s="109"/>
      <c r="X183" s="109"/>
      <c r="Y183" s="109"/>
      <c r="Z183" s="112"/>
      <c r="AA183" s="110"/>
      <c r="AB183" s="110"/>
    </row>
    <row r="184" spans="1:28" ht="16.5" customHeight="1">
      <c r="A184" s="140" t="s">
        <v>396</v>
      </c>
      <c r="B184" s="140">
        <v>92</v>
      </c>
      <c r="C184" s="140">
        <v>54</v>
      </c>
      <c r="D184" s="140">
        <v>54</v>
      </c>
      <c r="E184" s="140">
        <v>20</v>
      </c>
      <c r="F184" s="140">
        <v>54</v>
      </c>
      <c r="G184" s="140">
        <v>14</v>
      </c>
      <c r="H184" s="140">
        <v>60</v>
      </c>
      <c r="I184" s="140">
        <v>30</v>
      </c>
      <c r="J184" s="140"/>
      <c r="K184" s="140"/>
      <c r="L184" s="140"/>
      <c r="M184" s="140">
        <v>3</v>
      </c>
      <c r="N184" s="140">
        <v>7</v>
      </c>
      <c r="O184" s="141">
        <v>1.1</v>
      </c>
      <c r="P184" s="141">
        <v>0.22</v>
      </c>
      <c r="Q184" s="140">
        <v>1</v>
      </c>
      <c r="R184" s="140"/>
      <c r="S184" s="140">
        <v>0.19</v>
      </c>
      <c r="T184" s="140">
        <v>29</v>
      </c>
      <c r="U184" s="111"/>
      <c r="V184" s="111"/>
      <c r="W184" s="109"/>
      <c r="X184" s="109"/>
      <c r="Y184" s="109"/>
      <c r="Z184" s="112"/>
      <c r="AA184" s="110"/>
      <c r="AB184" s="110"/>
    </row>
    <row r="185" spans="1:28" ht="16.5" customHeight="1">
      <c r="A185" s="140" t="s">
        <v>395</v>
      </c>
      <c r="B185" s="140">
        <v>99</v>
      </c>
      <c r="C185" s="140">
        <v>0</v>
      </c>
      <c r="D185" s="140">
        <v>0</v>
      </c>
      <c r="E185" s="140">
        <v>0</v>
      </c>
      <c r="F185" s="140">
        <v>0</v>
      </c>
      <c r="G185" s="140">
        <v>0</v>
      </c>
      <c r="H185" s="140">
        <v>0</v>
      </c>
      <c r="I185" s="140">
        <v>0</v>
      </c>
      <c r="J185" s="140">
        <v>0</v>
      </c>
      <c r="K185" s="140">
        <v>0</v>
      </c>
      <c r="L185" s="140">
        <v>0</v>
      </c>
      <c r="M185" s="140">
        <v>0</v>
      </c>
      <c r="N185" s="140">
        <v>98</v>
      </c>
      <c r="O185" s="141">
        <v>22.3</v>
      </c>
      <c r="P185" s="141">
        <v>0.04</v>
      </c>
      <c r="Q185" s="140">
        <v>0.4</v>
      </c>
      <c r="R185" s="140"/>
      <c r="S185" s="140"/>
      <c r="T185" s="140"/>
      <c r="U185" s="111"/>
      <c r="V185" s="111"/>
      <c r="W185" s="109"/>
      <c r="X185" s="109"/>
      <c r="Y185" s="109"/>
      <c r="Z185" s="112"/>
      <c r="AA185" s="110"/>
      <c r="AB185" s="110"/>
    </row>
    <row r="186" spans="1:28" ht="16.5" customHeight="1">
      <c r="A186" s="140" t="s">
        <v>394</v>
      </c>
      <c r="B186" s="140">
        <v>98</v>
      </c>
      <c r="C186" s="140">
        <v>0</v>
      </c>
      <c r="D186" s="140">
        <v>0</v>
      </c>
      <c r="E186" s="140">
        <v>0</v>
      </c>
      <c r="F186" s="140">
        <v>0</v>
      </c>
      <c r="G186" s="140">
        <v>0</v>
      </c>
      <c r="H186" s="140">
        <v>0</v>
      </c>
      <c r="I186" s="140">
        <v>0</v>
      </c>
      <c r="J186" s="140">
        <v>0</v>
      </c>
      <c r="K186" s="140">
        <v>0</v>
      </c>
      <c r="L186" s="140">
        <v>0</v>
      </c>
      <c r="M186" s="140">
        <v>0</v>
      </c>
      <c r="N186" s="140">
        <v>98</v>
      </c>
      <c r="O186" s="141">
        <v>34</v>
      </c>
      <c r="P186" s="141">
        <v>0.02</v>
      </c>
      <c r="Q186" s="140"/>
      <c r="R186" s="140"/>
      <c r="S186" s="140">
        <v>0.03</v>
      </c>
      <c r="T186" s="140"/>
      <c r="U186" s="111"/>
      <c r="V186" s="111"/>
      <c r="W186" s="109"/>
      <c r="X186" s="109"/>
      <c r="Y186" s="109"/>
      <c r="Z186" s="112"/>
      <c r="AA186" s="110"/>
      <c r="AB186" s="110"/>
    </row>
    <row r="187" spans="1:28" ht="16.5" customHeight="1">
      <c r="A187" s="140" t="s">
        <v>393</v>
      </c>
      <c r="B187" s="140">
        <v>91</v>
      </c>
      <c r="C187" s="140">
        <v>76</v>
      </c>
      <c r="D187" s="140">
        <v>81</v>
      </c>
      <c r="E187" s="140">
        <v>52</v>
      </c>
      <c r="F187" s="140">
        <v>78</v>
      </c>
      <c r="G187" s="140">
        <v>39</v>
      </c>
      <c r="H187" s="140">
        <v>36</v>
      </c>
      <c r="I187" s="140">
        <v>10</v>
      </c>
      <c r="J187" s="140">
        <v>18</v>
      </c>
      <c r="K187" s="140">
        <v>25</v>
      </c>
      <c r="L187" s="140">
        <v>23</v>
      </c>
      <c r="M187" s="140">
        <v>1.9</v>
      </c>
      <c r="N187" s="140">
        <v>6</v>
      </c>
      <c r="O187" s="141">
        <v>0.43</v>
      </c>
      <c r="P187" s="141">
        <v>0.93</v>
      </c>
      <c r="Q187" s="140">
        <v>1.5</v>
      </c>
      <c r="R187" s="140">
        <v>0.04</v>
      </c>
      <c r="S187" s="140">
        <v>0.47</v>
      </c>
      <c r="T187" s="140">
        <v>60</v>
      </c>
      <c r="U187" s="111"/>
      <c r="V187" s="111"/>
      <c r="W187" s="109"/>
      <c r="X187" s="109"/>
      <c r="Y187" s="109"/>
      <c r="Z187" s="112"/>
      <c r="AA187" s="110"/>
      <c r="AB187" s="110"/>
    </row>
    <row r="188" spans="1:28" ht="16.5" customHeight="1">
      <c r="A188" s="140" t="s">
        <v>392</v>
      </c>
      <c r="B188" s="140">
        <v>90</v>
      </c>
      <c r="C188" s="140">
        <v>50</v>
      </c>
      <c r="D188" s="140">
        <v>50</v>
      </c>
      <c r="E188" s="140">
        <v>12</v>
      </c>
      <c r="F188" s="140">
        <v>49</v>
      </c>
      <c r="G188" s="140">
        <v>7</v>
      </c>
      <c r="H188" s="140">
        <v>23</v>
      </c>
      <c r="I188" s="140">
        <v>33</v>
      </c>
      <c r="J188" s="140">
        <v>44</v>
      </c>
      <c r="K188" s="140">
        <v>70</v>
      </c>
      <c r="L188" s="140">
        <v>98</v>
      </c>
      <c r="M188" s="140">
        <v>2.5</v>
      </c>
      <c r="N188" s="140">
        <v>9</v>
      </c>
      <c r="O188" s="141">
        <v>0.61</v>
      </c>
      <c r="P188" s="141">
        <v>0.18</v>
      </c>
      <c r="Q188" s="140">
        <v>1.6</v>
      </c>
      <c r="R188" s="140"/>
      <c r="S188" s="140">
        <v>0.17</v>
      </c>
      <c r="T188" s="140">
        <v>24</v>
      </c>
      <c r="U188" s="111"/>
      <c r="V188" s="111"/>
      <c r="W188" s="109"/>
      <c r="X188" s="109"/>
      <c r="Y188" s="109"/>
      <c r="Z188" s="112"/>
      <c r="AA188" s="110"/>
      <c r="AB188" s="110"/>
    </row>
    <row r="189" spans="1:28" ht="16.5" customHeight="1">
      <c r="A189" s="140" t="s">
        <v>46</v>
      </c>
      <c r="B189" s="140">
        <v>93</v>
      </c>
      <c r="C189" s="140">
        <v>72</v>
      </c>
      <c r="D189" s="140">
        <v>75</v>
      </c>
      <c r="E189" s="140">
        <v>47</v>
      </c>
      <c r="F189" s="140">
        <v>74</v>
      </c>
      <c r="G189" s="140">
        <v>56</v>
      </c>
      <c r="H189" s="140">
        <v>24</v>
      </c>
      <c r="I189" s="140">
        <v>1</v>
      </c>
      <c r="J189" s="140">
        <v>5</v>
      </c>
      <c r="K189" s="140">
        <v>34</v>
      </c>
      <c r="L189" s="140">
        <v>0</v>
      </c>
      <c r="M189" s="140">
        <v>10</v>
      </c>
      <c r="N189" s="140">
        <v>29</v>
      </c>
      <c r="O189" s="141">
        <v>13.5</v>
      </c>
      <c r="P189" s="141">
        <v>6.5</v>
      </c>
      <c r="Q189" s="140"/>
      <c r="R189" s="140"/>
      <c r="S189" s="140"/>
      <c r="T189" s="140"/>
      <c r="U189" s="111"/>
      <c r="V189" s="111"/>
      <c r="W189" s="109"/>
      <c r="X189" s="109"/>
      <c r="Y189" s="109"/>
      <c r="Z189" s="112"/>
      <c r="AA189" s="110"/>
      <c r="AB189" s="110"/>
    </row>
    <row r="190" spans="1:28" ht="16.5" customHeight="1">
      <c r="A190" s="140" t="s">
        <v>391</v>
      </c>
      <c r="B190" s="140">
        <v>93</v>
      </c>
      <c r="C190" s="140">
        <v>71</v>
      </c>
      <c r="D190" s="140">
        <v>74</v>
      </c>
      <c r="E190" s="140">
        <v>46</v>
      </c>
      <c r="F190" s="140">
        <v>73</v>
      </c>
      <c r="G190" s="140">
        <v>56</v>
      </c>
      <c r="H190" s="140">
        <v>64</v>
      </c>
      <c r="I190" s="140">
        <v>2</v>
      </c>
      <c r="J190" s="140">
        <v>7</v>
      </c>
      <c r="K190" s="140">
        <v>48</v>
      </c>
      <c r="L190" s="140">
        <v>0</v>
      </c>
      <c r="M190" s="140">
        <v>10.5</v>
      </c>
      <c r="N190" s="140">
        <v>24</v>
      </c>
      <c r="O190" s="141">
        <v>9</v>
      </c>
      <c r="P190" s="141">
        <v>4.42</v>
      </c>
      <c r="Q190" s="140">
        <v>0.5</v>
      </c>
      <c r="R190" s="140">
        <v>1.27</v>
      </c>
      <c r="S190" s="140">
        <v>0.48</v>
      </c>
      <c r="T190" s="140">
        <v>190</v>
      </c>
      <c r="U190" s="111"/>
      <c r="V190" s="111"/>
      <c r="W190" s="109"/>
      <c r="X190" s="109"/>
      <c r="Y190" s="109"/>
      <c r="Z190" s="112"/>
      <c r="AA190" s="110"/>
      <c r="AB190" s="110"/>
    </row>
    <row r="191" spans="1:28" ht="16.5" customHeight="1">
      <c r="A191" s="140" t="s">
        <v>390</v>
      </c>
      <c r="B191" s="140">
        <v>94</v>
      </c>
      <c r="C191" s="140">
        <v>87</v>
      </c>
      <c r="D191" s="140">
        <v>96</v>
      </c>
      <c r="E191" s="140">
        <v>64</v>
      </c>
      <c r="F191" s="140">
        <v>90</v>
      </c>
      <c r="G191" s="140">
        <v>36</v>
      </c>
      <c r="H191" s="140">
        <v>0</v>
      </c>
      <c r="I191" s="140">
        <v>0</v>
      </c>
      <c r="J191" s="140">
        <v>0</v>
      </c>
      <c r="K191" s="140">
        <v>0</v>
      </c>
      <c r="L191" s="140">
        <v>0</v>
      </c>
      <c r="M191" s="140">
        <v>1</v>
      </c>
      <c r="N191" s="140">
        <v>8</v>
      </c>
      <c r="O191" s="141">
        <v>1.36</v>
      </c>
      <c r="P191" s="141">
        <v>1.09</v>
      </c>
      <c r="Q191" s="140">
        <v>1.7</v>
      </c>
      <c r="R191" s="140">
        <v>0.96</v>
      </c>
      <c r="S191" s="140">
        <v>0.34</v>
      </c>
      <c r="T191" s="140">
        <v>41</v>
      </c>
      <c r="U191" s="111"/>
      <c r="V191" s="111"/>
      <c r="W191" s="109"/>
      <c r="X191" s="109"/>
      <c r="Y191" s="109"/>
      <c r="Z191" s="112"/>
      <c r="AA191" s="110"/>
      <c r="AB191" s="110"/>
    </row>
    <row r="192" spans="1:28" ht="16.5" customHeight="1">
      <c r="A192" s="140" t="s">
        <v>389</v>
      </c>
      <c r="B192" s="140">
        <v>27</v>
      </c>
      <c r="C192" s="140">
        <v>55</v>
      </c>
      <c r="D192" s="140">
        <v>55</v>
      </c>
      <c r="E192" s="140">
        <v>21</v>
      </c>
      <c r="F192" s="140">
        <v>55</v>
      </c>
      <c r="G192" s="140">
        <v>14</v>
      </c>
      <c r="H192" s="140"/>
      <c r="I192" s="140">
        <v>24</v>
      </c>
      <c r="J192" s="140"/>
      <c r="K192" s="140"/>
      <c r="L192" s="140"/>
      <c r="M192" s="140">
        <v>1.8</v>
      </c>
      <c r="N192" s="140">
        <v>16</v>
      </c>
      <c r="O192" s="141">
        <v>1.1</v>
      </c>
      <c r="P192" s="141">
        <v>0.57</v>
      </c>
      <c r="Q192" s="140"/>
      <c r="R192" s="140"/>
      <c r="S192" s="140"/>
      <c r="T192" s="140"/>
      <c r="U192" s="111"/>
      <c r="V192" s="111"/>
      <c r="W192" s="109"/>
      <c r="X192" s="109"/>
      <c r="Y192" s="109"/>
      <c r="Z192" s="112"/>
      <c r="AA192" s="110"/>
      <c r="AB192" s="110"/>
    </row>
    <row r="193" spans="1:28" ht="16.5" customHeight="1">
      <c r="A193" s="140" t="s">
        <v>47</v>
      </c>
      <c r="B193" s="140">
        <v>77</v>
      </c>
      <c r="C193" s="140">
        <v>75</v>
      </c>
      <c r="D193" s="140">
        <v>79</v>
      </c>
      <c r="E193" s="140">
        <v>50</v>
      </c>
      <c r="F193" s="140">
        <v>77</v>
      </c>
      <c r="G193" s="140">
        <v>9</v>
      </c>
      <c r="H193" s="140">
        <v>0</v>
      </c>
      <c r="I193" s="140">
        <v>0</v>
      </c>
      <c r="J193" s="140">
        <v>0</v>
      </c>
      <c r="K193" s="140">
        <v>0</v>
      </c>
      <c r="L193" s="140">
        <v>0</v>
      </c>
      <c r="M193" s="140">
        <v>0.2</v>
      </c>
      <c r="N193" s="140">
        <v>12</v>
      </c>
      <c r="O193" s="141">
        <v>0.12</v>
      </c>
      <c r="P193" s="141">
        <v>0.03</v>
      </c>
      <c r="Q193" s="140">
        <v>6</v>
      </c>
      <c r="R193" s="140">
        <v>1.64</v>
      </c>
      <c r="S193" s="140">
        <v>0.6</v>
      </c>
      <c r="T193" s="140">
        <v>18</v>
      </c>
      <c r="U193" s="111"/>
      <c r="V193" s="111"/>
      <c r="W193" s="109"/>
      <c r="X193" s="109"/>
      <c r="Y193" s="109"/>
      <c r="Z193" s="112"/>
      <c r="AA193" s="110"/>
      <c r="AB193" s="110"/>
    </row>
    <row r="194" spans="1:28" ht="16.5" customHeight="1">
      <c r="A194" s="140" t="s">
        <v>388</v>
      </c>
      <c r="B194" s="140">
        <v>77</v>
      </c>
      <c r="C194" s="140">
        <v>75</v>
      </c>
      <c r="D194" s="140">
        <v>79</v>
      </c>
      <c r="E194" s="140">
        <v>50</v>
      </c>
      <c r="F194" s="140">
        <v>77</v>
      </c>
      <c r="G194" s="140">
        <v>6</v>
      </c>
      <c r="H194" s="140">
        <v>0</v>
      </c>
      <c r="I194" s="140">
        <v>0</v>
      </c>
      <c r="J194" s="140">
        <v>0</v>
      </c>
      <c r="K194" s="140">
        <v>0</v>
      </c>
      <c r="L194" s="140">
        <v>0</v>
      </c>
      <c r="M194" s="140">
        <v>0.8</v>
      </c>
      <c r="N194" s="140">
        <v>14</v>
      </c>
      <c r="O194" s="141">
        <v>0.9</v>
      </c>
      <c r="P194" s="141">
        <v>0.08</v>
      </c>
      <c r="Q194" s="140">
        <v>4.4</v>
      </c>
      <c r="R194" s="140">
        <v>2.3</v>
      </c>
      <c r="S194" s="140">
        <v>0.68</v>
      </c>
      <c r="T194" s="140">
        <v>15</v>
      </c>
      <c r="U194" s="111"/>
      <c r="V194" s="111"/>
      <c r="W194" s="109"/>
      <c r="X194" s="109"/>
      <c r="Y194" s="109"/>
      <c r="Z194" s="112"/>
      <c r="AA194" s="110"/>
      <c r="AB194" s="110"/>
    </row>
    <row r="195" spans="1:28" ht="16.5" customHeight="1">
      <c r="A195" s="140" t="s">
        <v>48</v>
      </c>
      <c r="B195" s="140">
        <v>94</v>
      </c>
      <c r="C195" s="140">
        <v>74</v>
      </c>
      <c r="D195" s="140">
        <v>78</v>
      </c>
      <c r="E195" s="140">
        <v>49</v>
      </c>
      <c r="F195" s="140">
        <v>76</v>
      </c>
      <c r="G195" s="140">
        <v>9</v>
      </c>
      <c r="H195" s="140">
        <v>0</v>
      </c>
      <c r="I195" s="140">
        <v>2</v>
      </c>
      <c r="J195" s="140">
        <v>3</v>
      </c>
      <c r="K195" s="140">
        <v>7</v>
      </c>
      <c r="L195" s="140">
        <v>0</v>
      </c>
      <c r="M195" s="140">
        <v>0.3</v>
      </c>
      <c r="N195" s="140">
        <v>14</v>
      </c>
      <c r="O195" s="141">
        <v>1.1</v>
      </c>
      <c r="P195" s="141">
        <v>0.15</v>
      </c>
      <c r="Q195" s="140">
        <v>3.6</v>
      </c>
      <c r="R195" s="140">
        <v>3</v>
      </c>
      <c r="S195" s="140"/>
      <c r="T195" s="140">
        <v>30</v>
      </c>
      <c r="U195" s="111"/>
      <c r="V195" s="111"/>
      <c r="W195" s="109"/>
      <c r="X195" s="109"/>
      <c r="Y195" s="109"/>
      <c r="Z195" s="112"/>
      <c r="AA195" s="110"/>
      <c r="AB195" s="110"/>
    </row>
    <row r="196" spans="1:28" ht="16.5" customHeight="1">
      <c r="A196" s="140" t="s">
        <v>387</v>
      </c>
      <c r="B196" s="140">
        <v>65</v>
      </c>
      <c r="C196" s="140">
        <v>77</v>
      </c>
      <c r="D196" s="140">
        <v>82</v>
      </c>
      <c r="E196" s="140">
        <v>53</v>
      </c>
      <c r="F196" s="140">
        <v>79</v>
      </c>
      <c r="G196" s="140">
        <v>10</v>
      </c>
      <c r="H196" s="140">
        <v>0</v>
      </c>
      <c r="I196" s="140">
        <v>0</v>
      </c>
      <c r="J196" s="140">
        <v>0</v>
      </c>
      <c r="K196" s="140">
        <v>0</v>
      </c>
      <c r="L196" s="140">
        <v>0</v>
      </c>
      <c r="M196" s="140">
        <v>0.3</v>
      </c>
      <c r="N196" s="140">
        <v>8</v>
      </c>
      <c r="O196" s="141">
        <v>1.9</v>
      </c>
      <c r="P196" s="141">
        <v>0.17</v>
      </c>
      <c r="Q196" s="140">
        <v>0.2</v>
      </c>
      <c r="R196" s="140">
        <v>0.11</v>
      </c>
      <c r="S196" s="140">
        <v>0.23</v>
      </c>
      <c r="T196" s="140">
        <v>137</v>
      </c>
      <c r="U196" s="111"/>
      <c r="V196" s="111"/>
      <c r="W196" s="109"/>
      <c r="X196" s="109"/>
      <c r="Y196" s="109"/>
      <c r="Z196" s="112"/>
      <c r="AA196" s="110"/>
      <c r="AB196" s="110"/>
    </row>
    <row r="197" spans="1:28" ht="16.5" customHeight="1">
      <c r="A197" s="140" t="s">
        <v>386</v>
      </c>
      <c r="B197" s="140">
        <v>61</v>
      </c>
      <c r="C197" s="140">
        <v>76</v>
      </c>
      <c r="D197" s="140">
        <v>81</v>
      </c>
      <c r="E197" s="140">
        <v>52</v>
      </c>
      <c r="F197" s="140">
        <v>78</v>
      </c>
      <c r="G197" s="140">
        <v>1</v>
      </c>
      <c r="H197" s="140">
        <v>0</v>
      </c>
      <c r="I197" s="140">
        <v>1</v>
      </c>
      <c r="J197" s="140">
        <v>2</v>
      </c>
      <c r="K197" s="140">
        <v>4</v>
      </c>
      <c r="L197" s="140">
        <v>0</v>
      </c>
      <c r="M197" s="140">
        <v>0.7</v>
      </c>
      <c r="N197" s="140">
        <v>9</v>
      </c>
      <c r="O197" s="141">
        <v>1.3</v>
      </c>
      <c r="P197" s="141">
        <v>0.09</v>
      </c>
      <c r="Q197" s="140">
        <v>0.1</v>
      </c>
      <c r="R197" s="140"/>
      <c r="S197" s="140">
        <v>0.05</v>
      </c>
      <c r="T197" s="140"/>
      <c r="U197" s="111"/>
      <c r="V197" s="111"/>
      <c r="W197" s="109"/>
      <c r="X197" s="109"/>
      <c r="Y197" s="109"/>
      <c r="Z197" s="112"/>
      <c r="AA197" s="110"/>
      <c r="AB197" s="110"/>
    </row>
    <row r="198" spans="1:28" ht="16.5" customHeight="1">
      <c r="A198" s="140" t="s">
        <v>385</v>
      </c>
      <c r="B198" s="140">
        <v>43</v>
      </c>
      <c r="C198" s="140">
        <v>69</v>
      </c>
      <c r="D198" s="140">
        <v>71</v>
      </c>
      <c r="E198" s="140">
        <v>43</v>
      </c>
      <c r="F198" s="140">
        <v>70</v>
      </c>
      <c r="G198" s="140">
        <v>16</v>
      </c>
      <c r="H198" s="140">
        <v>0</v>
      </c>
      <c r="I198" s="140">
        <v>0</v>
      </c>
      <c r="J198" s="140">
        <v>0</v>
      </c>
      <c r="K198" s="140">
        <v>0</v>
      </c>
      <c r="L198" s="140">
        <v>0</v>
      </c>
      <c r="M198" s="140">
        <v>1</v>
      </c>
      <c r="N198" s="140">
        <v>26</v>
      </c>
      <c r="O198" s="141">
        <v>2.12</v>
      </c>
      <c r="P198" s="141">
        <v>0.14</v>
      </c>
      <c r="Q198" s="140">
        <v>7.5</v>
      </c>
      <c r="R198" s="140">
        <v>2.73</v>
      </c>
      <c r="S198" s="140">
        <v>0.93</v>
      </c>
      <c r="T198" s="140">
        <v>30</v>
      </c>
      <c r="U198" s="111"/>
      <c r="V198" s="111"/>
      <c r="W198" s="109"/>
      <c r="X198" s="109"/>
      <c r="Y198" s="109"/>
      <c r="Z198" s="112"/>
      <c r="AA198" s="110"/>
      <c r="AB198" s="110"/>
    </row>
    <row r="199" spans="1:28" ht="16.5" customHeight="1">
      <c r="A199" s="140" t="s">
        <v>384</v>
      </c>
      <c r="B199" s="140">
        <v>98</v>
      </c>
      <c r="C199" s="140">
        <v>0</v>
      </c>
      <c r="D199" s="140">
        <v>0</v>
      </c>
      <c r="E199" s="140">
        <v>0</v>
      </c>
      <c r="F199" s="140">
        <v>0</v>
      </c>
      <c r="G199" s="140">
        <v>70</v>
      </c>
      <c r="H199" s="140">
        <v>0</v>
      </c>
      <c r="I199" s="140">
        <v>0</v>
      </c>
      <c r="J199" s="140">
        <v>0</v>
      </c>
      <c r="K199" s="140">
        <v>0</v>
      </c>
      <c r="L199" s="140">
        <v>0</v>
      </c>
      <c r="M199" s="140">
        <v>0</v>
      </c>
      <c r="N199" s="140">
        <v>24</v>
      </c>
      <c r="O199" s="141">
        <v>0.3</v>
      </c>
      <c r="P199" s="141">
        <v>24.7</v>
      </c>
      <c r="Q199" s="140">
        <v>0</v>
      </c>
      <c r="R199" s="140"/>
      <c r="S199" s="140">
        <v>1.42</v>
      </c>
      <c r="T199" s="140">
        <v>81</v>
      </c>
      <c r="U199" s="111"/>
      <c r="V199" s="111"/>
      <c r="W199" s="109"/>
      <c r="X199" s="109"/>
      <c r="Y199" s="109"/>
      <c r="Z199" s="112"/>
      <c r="AA199" s="110"/>
      <c r="AB199" s="110"/>
    </row>
    <row r="200" spans="1:28" ht="16.5" customHeight="1">
      <c r="A200" s="140" t="s">
        <v>383</v>
      </c>
      <c r="B200" s="140">
        <v>97</v>
      </c>
      <c r="C200" s="140">
        <v>0</v>
      </c>
      <c r="D200" s="140">
        <v>0</v>
      </c>
      <c r="E200" s="140">
        <v>0</v>
      </c>
      <c r="F200" s="140">
        <v>0</v>
      </c>
      <c r="G200" s="140">
        <v>0</v>
      </c>
      <c r="H200" s="140"/>
      <c r="I200" s="140">
        <v>0</v>
      </c>
      <c r="J200" s="140">
        <v>0</v>
      </c>
      <c r="K200" s="140">
        <v>0</v>
      </c>
      <c r="L200" s="140">
        <v>0</v>
      </c>
      <c r="M200" s="140">
        <v>0</v>
      </c>
      <c r="N200" s="140">
        <v>94</v>
      </c>
      <c r="O200" s="141">
        <v>16.7</v>
      </c>
      <c r="P200" s="141">
        <v>21.1</v>
      </c>
      <c r="Q200" s="140">
        <v>0.1</v>
      </c>
      <c r="R200" s="140"/>
      <c r="S200" s="140">
        <v>1.2</v>
      </c>
      <c r="T200" s="140">
        <v>70</v>
      </c>
      <c r="U200" s="111"/>
      <c r="V200" s="111"/>
      <c r="W200" s="109"/>
      <c r="X200" s="109"/>
      <c r="Y200" s="109"/>
      <c r="Z200" s="112"/>
      <c r="AA200" s="110"/>
      <c r="AB200" s="110"/>
    </row>
    <row r="201" spans="1:28" ht="16.5" customHeight="1">
      <c r="A201" s="140" t="s">
        <v>382</v>
      </c>
      <c r="B201" s="140">
        <v>89</v>
      </c>
      <c r="C201" s="140">
        <v>76</v>
      </c>
      <c r="D201" s="140">
        <v>81</v>
      </c>
      <c r="E201" s="140">
        <v>52</v>
      </c>
      <c r="F201" s="140">
        <v>78</v>
      </c>
      <c r="G201" s="140">
        <v>13</v>
      </c>
      <c r="H201" s="140">
        <v>18</v>
      </c>
      <c r="I201" s="140">
        <v>11</v>
      </c>
      <c r="J201" s="140">
        <v>15</v>
      </c>
      <c r="K201" s="140">
        <v>28</v>
      </c>
      <c r="L201" s="140">
        <v>34</v>
      </c>
      <c r="M201" s="140">
        <v>5</v>
      </c>
      <c r="N201" s="140">
        <v>4</v>
      </c>
      <c r="O201" s="141">
        <v>0.05</v>
      </c>
      <c r="P201" s="141">
        <v>0.41</v>
      </c>
      <c r="Q201" s="140">
        <v>0.5</v>
      </c>
      <c r="R201" s="140">
        <v>0.11</v>
      </c>
      <c r="S201" s="140">
        <v>0.2</v>
      </c>
      <c r="T201" s="140">
        <v>40</v>
      </c>
      <c r="U201" s="111"/>
      <c r="V201" s="111"/>
      <c r="W201" s="109"/>
      <c r="X201" s="109"/>
      <c r="Y201" s="109"/>
      <c r="Z201" s="112"/>
      <c r="AA201" s="110"/>
      <c r="AB201" s="110"/>
    </row>
    <row r="202" spans="1:28" ht="16.5" customHeight="1">
      <c r="A202" s="140" t="s">
        <v>381</v>
      </c>
      <c r="B202" s="140">
        <v>84</v>
      </c>
      <c r="C202" s="140">
        <v>88</v>
      </c>
      <c r="D202" s="140">
        <v>98</v>
      </c>
      <c r="E202" s="140">
        <v>65</v>
      </c>
      <c r="F202" s="140">
        <v>91</v>
      </c>
      <c r="G202" s="140">
        <v>13</v>
      </c>
      <c r="H202" s="140">
        <v>26</v>
      </c>
      <c r="I202" s="140">
        <v>11</v>
      </c>
      <c r="J202" s="140">
        <v>15</v>
      </c>
      <c r="K202" s="140">
        <v>30</v>
      </c>
      <c r="L202" s="140">
        <v>32</v>
      </c>
      <c r="M202" s="140">
        <v>4.9</v>
      </c>
      <c r="N202" s="140">
        <v>4</v>
      </c>
      <c r="O202" s="141">
        <v>0.05</v>
      </c>
      <c r="P202" s="141">
        <v>0.37</v>
      </c>
      <c r="Q202" s="140">
        <v>0.5</v>
      </c>
      <c r="R202" s="140">
        <v>0.11</v>
      </c>
      <c r="S202" s="140">
        <v>0.2</v>
      </c>
      <c r="T202" s="140">
        <v>40</v>
      </c>
      <c r="U202" s="111"/>
      <c r="V202" s="111"/>
      <c r="W202" s="109"/>
      <c r="X202" s="109"/>
      <c r="Y202" s="109"/>
      <c r="Z202" s="112"/>
      <c r="AA202" s="110"/>
      <c r="AB202" s="110"/>
    </row>
    <row r="203" spans="1:28" ht="16.5" customHeight="1">
      <c r="A203" s="140" t="s">
        <v>380</v>
      </c>
      <c r="B203" s="140">
        <v>91</v>
      </c>
      <c r="C203" s="140">
        <v>91</v>
      </c>
      <c r="D203" s="140">
        <v>102</v>
      </c>
      <c r="E203" s="140">
        <v>69</v>
      </c>
      <c r="F203" s="140">
        <v>95</v>
      </c>
      <c r="G203" s="140">
        <v>18</v>
      </c>
      <c r="H203" s="140">
        <v>15</v>
      </c>
      <c r="I203" s="140">
        <v>3</v>
      </c>
      <c r="J203" s="140"/>
      <c r="K203" s="140"/>
      <c r="L203" s="140"/>
      <c r="M203" s="140">
        <v>6.6</v>
      </c>
      <c r="N203" s="140">
        <v>2</v>
      </c>
      <c r="O203" s="141">
        <v>0.08</v>
      </c>
      <c r="P203" s="141">
        <v>0.47</v>
      </c>
      <c r="Q203" s="140">
        <v>0.4</v>
      </c>
      <c r="R203" s="140">
        <v>0.1</v>
      </c>
      <c r="S203" s="140">
        <v>0.2</v>
      </c>
      <c r="T203" s="140"/>
      <c r="U203" s="111"/>
      <c r="V203" s="111"/>
      <c r="W203" s="109"/>
      <c r="X203" s="109"/>
      <c r="Y203" s="109"/>
      <c r="Z203" s="112"/>
      <c r="AA203" s="110"/>
      <c r="AB203" s="110"/>
    </row>
    <row r="204" spans="1:28" ht="16.5" customHeight="1">
      <c r="A204" s="140" t="s">
        <v>379</v>
      </c>
      <c r="B204" s="140">
        <v>90</v>
      </c>
      <c r="C204" s="140">
        <v>54</v>
      </c>
      <c r="D204" s="140">
        <v>54</v>
      </c>
      <c r="E204" s="140">
        <v>20</v>
      </c>
      <c r="F204" s="140">
        <v>54</v>
      </c>
      <c r="G204" s="140">
        <v>10</v>
      </c>
      <c r="H204" s="140">
        <v>25</v>
      </c>
      <c r="I204" s="140">
        <v>31</v>
      </c>
      <c r="J204" s="140">
        <v>39</v>
      </c>
      <c r="K204" s="140">
        <v>63</v>
      </c>
      <c r="L204" s="140">
        <v>98</v>
      </c>
      <c r="M204" s="140">
        <v>2.3</v>
      </c>
      <c r="N204" s="140">
        <v>8</v>
      </c>
      <c r="O204" s="141">
        <v>0.4</v>
      </c>
      <c r="P204" s="141">
        <v>0.27</v>
      </c>
      <c r="Q204" s="140">
        <v>1.6</v>
      </c>
      <c r="R204" s="140">
        <v>0.42</v>
      </c>
      <c r="S204" s="140">
        <v>0.21</v>
      </c>
      <c r="T204" s="140">
        <v>28</v>
      </c>
      <c r="U204" s="111"/>
      <c r="V204" s="111"/>
      <c r="W204" s="109"/>
      <c r="X204" s="109"/>
      <c r="Y204" s="109"/>
      <c r="Z204" s="112"/>
      <c r="AA204" s="110"/>
      <c r="AB204" s="110"/>
    </row>
    <row r="205" spans="1:28" ht="16.5" customHeight="1">
      <c r="A205" s="140" t="s">
        <v>378</v>
      </c>
      <c r="B205" s="140">
        <v>93</v>
      </c>
      <c r="C205" s="140">
        <v>40</v>
      </c>
      <c r="D205" s="140">
        <v>42</v>
      </c>
      <c r="E205" s="140">
        <v>0</v>
      </c>
      <c r="F205" s="140">
        <v>38</v>
      </c>
      <c r="G205" s="140">
        <v>4</v>
      </c>
      <c r="H205" s="140">
        <v>25</v>
      </c>
      <c r="I205" s="140">
        <v>32</v>
      </c>
      <c r="J205" s="140">
        <v>40</v>
      </c>
      <c r="K205" s="140">
        <v>75</v>
      </c>
      <c r="L205" s="140">
        <v>90</v>
      </c>
      <c r="M205" s="140">
        <v>1.5</v>
      </c>
      <c r="N205" s="140">
        <v>7</v>
      </c>
      <c r="O205" s="141">
        <v>0.16</v>
      </c>
      <c r="P205" s="141">
        <v>0.15</v>
      </c>
      <c r="Q205" s="140">
        <v>0.6</v>
      </c>
      <c r="R205" s="140">
        <v>0.08</v>
      </c>
      <c r="S205" s="140">
        <v>0.14</v>
      </c>
      <c r="T205" s="140">
        <v>31</v>
      </c>
      <c r="U205" s="111"/>
      <c r="V205" s="111"/>
      <c r="W205" s="109"/>
      <c r="X205" s="109"/>
      <c r="Y205" s="109"/>
      <c r="Z205" s="112"/>
      <c r="AA205" s="110"/>
      <c r="AB205" s="110"/>
    </row>
    <row r="206" spans="1:28" ht="16.5" customHeight="1">
      <c r="A206" s="140" t="s">
        <v>377</v>
      </c>
      <c r="B206" s="140">
        <v>90</v>
      </c>
      <c r="C206" s="140">
        <v>90</v>
      </c>
      <c r="D206" s="140">
        <v>100</v>
      </c>
      <c r="E206" s="140">
        <v>68</v>
      </c>
      <c r="F206" s="140">
        <v>94</v>
      </c>
      <c r="G206" s="140">
        <v>17</v>
      </c>
      <c r="H206" s="140">
        <v>20</v>
      </c>
      <c r="I206" s="140">
        <v>3</v>
      </c>
      <c r="J206" s="140">
        <v>4</v>
      </c>
      <c r="K206" s="140"/>
      <c r="L206" s="140"/>
      <c r="M206" s="140">
        <v>6</v>
      </c>
      <c r="N206" s="140">
        <v>3</v>
      </c>
      <c r="O206" s="141">
        <v>0.06</v>
      </c>
      <c r="P206" s="141">
        <v>0.48</v>
      </c>
      <c r="Q206" s="140">
        <v>0.5</v>
      </c>
      <c r="R206" s="140"/>
      <c r="S206" s="140">
        <v>0.23</v>
      </c>
      <c r="T206" s="140"/>
      <c r="U206" s="111"/>
      <c r="V206" s="111"/>
      <c r="W206" s="109"/>
      <c r="X206" s="109"/>
      <c r="Y206" s="109"/>
      <c r="Z206" s="112"/>
      <c r="AA206" s="110"/>
      <c r="AB206" s="110"/>
    </row>
    <row r="207" spans="1:28" ht="16.5" customHeight="1">
      <c r="A207" s="140" t="s">
        <v>49</v>
      </c>
      <c r="B207" s="140">
        <v>89</v>
      </c>
      <c r="C207" s="140">
        <v>33</v>
      </c>
      <c r="D207" s="140">
        <v>38</v>
      </c>
      <c r="E207" s="140">
        <v>0</v>
      </c>
      <c r="F207" s="140">
        <v>30</v>
      </c>
      <c r="G207" s="140">
        <v>8</v>
      </c>
      <c r="H207" s="140"/>
      <c r="I207" s="140">
        <v>25</v>
      </c>
      <c r="J207" s="140">
        <v>37</v>
      </c>
      <c r="K207" s="140"/>
      <c r="L207" s="140"/>
      <c r="M207" s="140">
        <v>2.6</v>
      </c>
      <c r="N207" s="140">
        <v>6</v>
      </c>
      <c r="O207" s="141">
        <v>0.12</v>
      </c>
      <c r="P207" s="141">
        <v>0.23</v>
      </c>
      <c r="Q207" s="140">
        <v>0.6</v>
      </c>
      <c r="R207" s="140"/>
      <c r="S207" s="140">
        <v>0.24</v>
      </c>
      <c r="T207" s="140"/>
      <c r="U207" s="111"/>
      <c r="V207" s="111"/>
      <c r="W207" s="109"/>
      <c r="X207" s="109"/>
      <c r="Y207" s="109"/>
      <c r="Z207" s="112"/>
      <c r="AA207" s="110"/>
      <c r="AB207" s="110"/>
    </row>
    <row r="208" spans="1:28" ht="16.5" customHeight="1">
      <c r="A208" s="140" t="s">
        <v>376</v>
      </c>
      <c r="B208" s="140">
        <v>35</v>
      </c>
      <c r="C208" s="140">
        <v>60</v>
      </c>
      <c r="D208" s="140">
        <v>60</v>
      </c>
      <c r="E208" s="140">
        <v>30</v>
      </c>
      <c r="F208" s="140">
        <v>60</v>
      </c>
      <c r="G208" s="140">
        <v>12</v>
      </c>
      <c r="H208" s="140">
        <v>21</v>
      </c>
      <c r="I208" s="140">
        <v>31</v>
      </c>
      <c r="J208" s="140">
        <v>39</v>
      </c>
      <c r="K208" s="140">
        <v>59</v>
      </c>
      <c r="L208" s="140">
        <v>61</v>
      </c>
      <c r="M208" s="140">
        <v>3.2</v>
      </c>
      <c r="N208" s="140">
        <v>10</v>
      </c>
      <c r="O208" s="141">
        <v>0.34</v>
      </c>
      <c r="P208" s="141">
        <v>0.3</v>
      </c>
      <c r="Q208" s="140">
        <v>2.4</v>
      </c>
      <c r="R208" s="140">
        <v>0.5</v>
      </c>
      <c r="S208" s="140">
        <v>0.25</v>
      </c>
      <c r="T208" s="140">
        <v>27</v>
      </c>
      <c r="U208" s="111"/>
      <c r="V208" s="111"/>
      <c r="W208" s="109"/>
      <c r="X208" s="109"/>
      <c r="Y208" s="109"/>
      <c r="Z208" s="112"/>
      <c r="AA208" s="110"/>
      <c r="AB208" s="110"/>
    </row>
    <row r="209" spans="1:28" ht="16.5" customHeight="1">
      <c r="A209" s="140" t="s">
        <v>375</v>
      </c>
      <c r="B209" s="140">
        <v>91</v>
      </c>
      <c r="C209" s="140">
        <v>48</v>
      </c>
      <c r="D209" s="140">
        <v>48</v>
      </c>
      <c r="E209" s="140">
        <v>9</v>
      </c>
      <c r="F209" s="140">
        <v>47</v>
      </c>
      <c r="G209" s="140">
        <v>4</v>
      </c>
      <c r="H209" s="140">
        <v>40</v>
      </c>
      <c r="I209" s="140">
        <v>41</v>
      </c>
      <c r="J209" s="140">
        <v>48</v>
      </c>
      <c r="K209" s="140">
        <v>73</v>
      </c>
      <c r="L209" s="140">
        <v>98</v>
      </c>
      <c r="M209" s="140">
        <v>2.3</v>
      </c>
      <c r="N209" s="140">
        <v>8</v>
      </c>
      <c r="O209" s="141">
        <v>0.24</v>
      </c>
      <c r="P209" s="141">
        <v>0.07</v>
      </c>
      <c r="Q209" s="140">
        <v>2.4</v>
      </c>
      <c r="R209" s="140">
        <v>0.78</v>
      </c>
      <c r="S209" s="140">
        <v>0.22</v>
      </c>
      <c r="T209" s="140">
        <v>6</v>
      </c>
      <c r="U209" s="111"/>
      <c r="V209" s="111"/>
      <c r="W209" s="109"/>
      <c r="X209" s="109"/>
      <c r="Y209" s="109"/>
      <c r="Z209" s="112"/>
      <c r="AA209" s="110"/>
      <c r="AB209" s="110"/>
    </row>
    <row r="210" spans="1:28" ht="16.5" customHeight="1">
      <c r="A210" s="140" t="s">
        <v>50</v>
      </c>
      <c r="B210" s="140">
        <v>89</v>
      </c>
      <c r="C210" s="140">
        <v>80</v>
      </c>
      <c r="D210" s="140">
        <v>86</v>
      </c>
      <c r="E210" s="140">
        <v>56</v>
      </c>
      <c r="F210" s="140">
        <v>83</v>
      </c>
      <c r="G210" s="140">
        <v>9</v>
      </c>
      <c r="H210" s="140"/>
      <c r="I210" s="140">
        <v>9</v>
      </c>
      <c r="J210" s="140">
        <v>16</v>
      </c>
      <c r="K210" s="140">
        <v>20</v>
      </c>
      <c r="L210" s="140">
        <v>33</v>
      </c>
      <c r="M210" s="140">
        <v>1.8</v>
      </c>
      <c r="N210" s="140">
        <v>4</v>
      </c>
      <c r="O210" s="141">
        <v>0.71</v>
      </c>
      <c r="P210" s="141">
        <v>0.11</v>
      </c>
      <c r="Q210" s="140">
        <v>0.6</v>
      </c>
      <c r="R210" s="140"/>
      <c r="S210" s="140">
        <v>0.05</v>
      </c>
      <c r="T210" s="140"/>
      <c r="U210" s="111"/>
      <c r="V210" s="111"/>
      <c r="W210" s="109"/>
      <c r="X210" s="109"/>
      <c r="Y210" s="109"/>
      <c r="Z210" s="112"/>
      <c r="AA210" s="110"/>
      <c r="AB210" s="110"/>
    </row>
    <row r="211" spans="1:28" ht="16.5" customHeight="1">
      <c r="A211" s="140" t="s">
        <v>51</v>
      </c>
      <c r="B211" s="140">
        <v>24</v>
      </c>
      <c r="C211" s="140">
        <v>65</v>
      </c>
      <c r="D211" s="140">
        <v>66</v>
      </c>
      <c r="E211" s="140">
        <v>37</v>
      </c>
      <c r="F211" s="140">
        <v>66</v>
      </c>
      <c r="G211" s="140">
        <v>14</v>
      </c>
      <c r="H211" s="140">
        <v>23</v>
      </c>
      <c r="I211" s="140">
        <v>30</v>
      </c>
      <c r="J211" s="140">
        <v>32</v>
      </c>
      <c r="K211" s="140">
        <v>54</v>
      </c>
      <c r="L211" s="140">
        <v>41</v>
      </c>
      <c r="M211" s="140">
        <v>4</v>
      </c>
      <c r="N211" s="140">
        <v>9</v>
      </c>
      <c r="O211" s="141">
        <v>0.33</v>
      </c>
      <c r="P211" s="141">
        <v>0.39</v>
      </c>
      <c r="Q211" s="140">
        <v>2.7</v>
      </c>
      <c r="R211" s="140">
        <v>0.08</v>
      </c>
      <c r="S211" s="140">
        <v>0.2</v>
      </c>
      <c r="T211" s="140">
        <v>21</v>
      </c>
      <c r="U211" s="111"/>
      <c r="V211" s="111"/>
      <c r="W211" s="109"/>
      <c r="X211" s="109"/>
      <c r="Y211" s="109"/>
      <c r="Z211" s="112"/>
      <c r="AA211" s="110"/>
      <c r="AB211" s="110"/>
    </row>
    <row r="212" spans="1:28" ht="16.5" customHeight="1">
      <c r="A212" s="140" t="s">
        <v>374</v>
      </c>
      <c r="B212" s="140">
        <v>88</v>
      </c>
      <c r="C212" s="140">
        <v>59</v>
      </c>
      <c r="D212" s="140">
        <v>59</v>
      </c>
      <c r="E212" s="140">
        <v>28</v>
      </c>
      <c r="F212" s="140">
        <v>59</v>
      </c>
      <c r="G212" s="140">
        <v>10</v>
      </c>
      <c r="H212" s="140">
        <v>27</v>
      </c>
      <c r="I212" s="140">
        <v>34</v>
      </c>
      <c r="J212" s="140">
        <v>40</v>
      </c>
      <c r="K212" s="140">
        <v>67</v>
      </c>
      <c r="L212" s="140">
        <v>98</v>
      </c>
      <c r="M212" s="140">
        <v>3.3</v>
      </c>
      <c r="N212" s="140">
        <v>8</v>
      </c>
      <c r="O212" s="141">
        <v>0.32</v>
      </c>
      <c r="P212" s="141">
        <v>0.3</v>
      </c>
      <c r="Q212" s="140">
        <v>2.6</v>
      </c>
      <c r="R212" s="140">
        <v>0.41</v>
      </c>
      <c r="S212" s="140">
        <v>0.2</v>
      </c>
      <c r="T212" s="140">
        <v>26</v>
      </c>
      <c r="U212" s="111"/>
      <c r="V212" s="111"/>
      <c r="W212" s="109"/>
      <c r="X212" s="109"/>
      <c r="Y212" s="109"/>
      <c r="Z212" s="112"/>
      <c r="AA212" s="110"/>
      <c r="AB212" s="110"/>
    </row>
    <row r="213" spans="1:28" ht="16.5" customHeight="1">
      <c r="A213" s="140" t="s">
        <v>373</v>
      </c>
      <c r="B213" s="140">
        <v>89</v>
      </c>
      <c r="C213" s="140">
        <v>50</v>
      </c>
      <c r="D213" s="140">
        <v>50</v>
      </c>
      <c r="E213" s="140">
        <v>12</v>
      </c>
      <c r="F213" s="140">
        <v>49</v>
      </c>
      <c r="G213" s="140">
        <v>7</v>
      </c>
      <c r="H213" s="140"/>
      <c r="I213" s="140">
        <v>42</v>
      </c>
      <c r="J213" s="140">
        <v>49</v>
      </c>
      <c r="K213" s="140">
        <v>72</v>
      </c>
      <c r="L213" s="140">
        <v>98</v>
      </c>
      <c r="M213" s="140">
        <v>1.3</v>
      </c>
      <c r="N213" s="140">
        <v>7</v>
      </c>
      <c r="O213" s="141">
        <v>0.6</v>
      </c>
      <c r="P213" s="141">
        <v>0.15</v>
      </c>
      <c r="Q213" s="140">
        <v>1.1</v>
      </c>
      <c r="R213" s="140"/>
      <c r="S213" s="140">
        <v>0.15</v>
      </c>
      <c r="T213" s="140"/>
      <c r="U213" s="111"/>
      <c r="V213" s="111"/>
      <c r="W213" s="109"/>
      <c r="X213" s="109"/>
      <c r="Y213" s="109"/>
      <c r="Z213" s="112"/>
      <c r="AA213" s="110"/>
      <c r="AB213" s="110"/>
    </row>
    <row r="214" spans="1:28" ht="16.5" customHeight="1">
      <c r="A214" s="140" t="s">
        <v>372</v>
      </c>
      <c r="B214" s="140">
        <v>89</v>
      </c>
      <c r="C214" s="140">
        <v>60</v>
      </c>
      <c r="D214" s="140">
        <v>60</v>
      </c>
      <c r="E214" s="140">
        <v>30</v>
      </c>
      <c r="F214" s="140">
        <v>60</v>
      </c>
      <c r="G214" s="140">
        <v>10</v>
      </c>
      <c r="H214" s="140"/>
      <c r="I214" s="140">
        <v>32</v>
      </c>
      <c r="J214" s="140">
        <v>52</v>
      </c>
      <c r="K214" s="140">
        <v>62</v>
      </c>
      <c r="L214" s="140">
        <v>92</v>
      </c>
      <c r="M214" s="140">
        <v>1.8</v>
      </c>
      <c r="N214" s="140">
        <v>7</v>
      </c>
      <c r="O214" s="141">
        <v>1.2</v>
      </c>
      <c r="P214" s="141">
        <v>0.21</v>
      </c>
      <c r="Q214" s="140">
        <v>1.2</v>
      </c>
      <c r="R214" s="140"/>
      <c r="S214" s="140">
        <v>0.2</v>
      </c>
      <c r="T214" s="140">
        <v>20</v>
      </c>
      <c r="U214" s="111"/>
      <c r="V214" s="111"/>
      <c r="W214" s="109"/>
      <c r="X214" s="109"/>
      <c r="Y214" s="109"/>
      <c r="Z214" s="112"/>
      <c r="AA214" s="110"/>
      <c r="AB214" s="110"/>
    </row>
    <row r="215" spans="1:28" ht="16.5" customHeight="1">
      <c r="A215" s="140" t="s">
        <v>371</v>
      </c>
      <c r="B215" s="140">
        <v>25</v>
      </c>
      <c r="C215" s="140">
        <v>58</v>
      </c>
      <c r="D215" s="140">
        <v>58</v>
      </c>
      <c r="E215" s="140">
        <v>26</v>
      </c>
      <c r="F215" s="140">
        <v>58</v>
      </c>
      <c r="G215" s="140">
        <v>16</v>
      </c>
      <c r="H215" s="140"/>
      <c r="I215" s="140">
        <v>29</v>
      </c>
      <c r="J215" s="140">
        <v>44</v>
      </c>
      <c r="K215" s="140">
        <v>55</v>
      </c>
      <c r="L215" s="140">
        <v>61</v>
      </c>
      <c r="M215" s="140">
        <v>3.3</v>
      </c>
      <c r="N215" s="140">
        <v>8</v>
      </c>
      <c r="O215" s="141">
        <v>1.25</v>
      </c>
      <c r="P215" s="141">
        <v>0.28</v>
      </c>
      <c r="Q215" s="140">
        <v>1.6</v>
      </c>
      <c r="R215" s="140"/>
      <c r="S215" s="140">
        <v>0.29</v>
      </c>
      <c r="T215" s="140">
        <v>32</v>
      </c>
      <c r="U215" s="111"/>
      <c r="V215" s="111"/>
      <c r="W215" s="109"/>
      <c r="X215" s="109"/>
      <c r="Y215" s="109"/>
      <c r="Z215" s="112"/>
      <c r="AA215" s="110"/>
      <c r="AB215" s="110"/>
    </row>
    <row r="216" spans="1:28" ht="16.5" customHeight="1">
      <c r="A216" s="140" t="s">
        <v>370</v>
      </c>
      <c r="B216" s="140">
        <v>91</v>
      </c>
      <c r="C216" s="140">
        <v>22</v>
      </c>
      <c r="D216" s="140">
        <v>36</v>
      </c>
      <c r="E216" s="140">
        <v>0</v>
      </c>
      <c r="F216" s="140">
        <v>18</v>
      </c>
      <c r="G216" s="140">
        <v>7</v>
      </c>
      <c r="H216" s="140"/>
      <c r="I216" s="140">
        <v>63</v>
      </c>
      <c r="J216" s="140">
        <v>65</v>
      </c>
      <c r="K216" s="140">
        <v>74</v>
      </c>
      <c r="L216" s="140">
        <v>98</v>
      </c>
      <c r="M216" s="140">
        <v>1.5</v>
      </c>
      <c r="N216" s="140">
        <v>5</v>
      </c>
      <c r="O216" s="141">
        <v>0.2</v>
      </c>
      <c r="P216" s="141">
        <v>0.07</v>
      </c>
      <c r="Q216" s="140">
        <v>0.9</v>
      </c>
      <c r="R216" s="140"/>
      <c r="S216" s="140"/>
      <c r="T216" s="140"/>
      <c r="U216" s="111"/>
      <c r="V216" s="111"/>
      <c r="W216" s="109"/>
      <c r="X216" s="109"/>
      <c r="Y216" s="109"/>
      <c r="Z216" s="112"/>
      <c r="AA216" s="110"/>
      <c r="AB216" s="110"/>
    </row>
    <row r="217" spans="1:28" ht="16.5" customHeight="1">
      <c r="A217" s="140" t="s">
        <v>548</v>
      </c>
      <c r="B217" s="140">
        <v>91</v>
      </c>
      <c r="C217" s="140">
        <v>77</v>
      </c>
      <c r="D217" s="140">
        <v>82</v>
      </c>
      <c r="E217" s="140">
        <v>53</v>
      </c>
      <c r="F217" s="140">
        <v>79</v>
      </c>
      <c r="G217" s="140">
        <v>50</v>
      </c>
      <c r="H217" s="140">
        <v>27</v>
      </c>
      <c r="I217" s="140">
        <v>8</v>
      </c>
      <c r="J217" s="140">
        <v>15</v>
      </c>
      <c r="K217" s="140">
        <v>27</v>
      </c>
      <c r="L217" s="140">
        <v>23</v>
      </c>
      <c r="M217" s="140">
        <v>3.6</v>
      </c>
      <c r="N217" s="140">
        <v>6</v>
      </c>
      <c r="O217" s="141">
        <v>0.24</v>
      </c>
      <c r="P217" s="141">
        <v>0.58</v>
      </c>
      <c r="Q217" s="140">
        <v>1</v>
      </c>
      <c r="R217" s="140">
        <v>0.03</v>
      </c>
      <c r="S217" s="140">
        <v>0.3</v>
      </c>
      <c r="T217" s="140">
        <v>38</v>
      </c>
      <c r="U217" s="111"/>
      <c r="V217" s="111"/>
      <c r="W217" s="109"/>
      <c r="X217" s="109"/>
      <c r="Y217" s="109"/>
      <c r="Z217" s="112"/>
      <c r="AA217" s="110"/>
      <c r="AB217" s="110"/>
    </row>
    <row r="218" spans="1:28" ht="16.5" customHeight="1">
      <c r="A218" s="140" t="s">
        <v>549</v>
      </c>
      <c r="B218" s="140">
        <v>92</v>
      </c>
      <c r="C218" s="140">
        <v>0</v>
      </c>
      <c r="D218" s="140">
        <v>0</v>
      </c>
      <c r="E218" s="140">
        <v>0</v>
      </c>
      <c r="F218" s="140">
        <v>0</v>
      </c>
      <c r="G218" s="140">
        <v>17</v>
      </c>
      <c r="H218" s="140"/>
      <c r="I218" s="140">
        <v>13</v>
      </c>
      <c r="J218" s="140">
        <v>20</v>
      </c>
      <c r="K218" s="140">
        <v>28</v>
      </c>
      <c r="L218" s="140">
        <v>0</v>
      </c>
      <c r="M218" s="140">
        <v>22</v>
      </c>
      <c r="N218" s="140">
        <v>3</v>
      </c>
      <c r="O218" s="141">
        <v>0.19</v>
      </c>
      <c r="P218" s="141">
        <v>0.2</v>
      </c>
      <c r="Q218" s="140"/>
      <c r="R218" s="140"/>
      <c r="S218" s="140"/>
      <c r="T218" s="140"/>
      <c r="U218" s="111"/>
      <c r="V218" s="111"/>
      <c r="W218" s="109"/>
      <c r="X218" s="109"/>
      <c r="Y218" s="109"/>
      <c r="Z218" s="112"/>
      <c r="AA218" s="110"/>
      <c r="AB218" s="110"/>
    </row>
    <row r="219" spans="1:28" ht="16.5" customHeight="1">
      <c r="A219" s="140" t="s">
        <v>550</v>
      </c>
      <c r="B219" s="140">
        <v>87</v>
      </c>
      <c r="C219" s="140">
        <v>82</v>
      </c>
      <c r="D219" s="140">
        <v>89</v>
      </c>
      <c r="E219" s="140">
        <v>59</v>
      </c>
      <c r="F219" s="140">
        <v>85</v>
      </c>
      <c r="G219" s="140">
        <v>13</v>
      </c>
      <c r="H219" s="140"/>
      <c r="I219" s="140">
        <v>2</v>
      </c>
      <c r="J219" s="140">
        <v>6</v>
      </c>
      <c r="K219" s="140">
        <v>18</v>
      </c>
      <c r="L219" s="140">
        <v>34</v>
      </c>
      <c r="M219" s="140">
        <v>4.5</v>
      </c>
      <c r="N219" s="140">
        <v>3</v>
      </c>
      <c r="O219" s="141">
        <v>0.03</v>
      </c>
      <c r="P219" s="141">
        <v>0.36</v>
      </c>
      <c r="Q219" s="140">
        <v>0.5</v>
      </c>
      <c r="R219" s="140"/>
      <c r="S219" s="140"/>
      <c r="T219" s="140"/>
      <c r="U219" s="111"/>
      <c r="V219" s="111"/>
      <c r="W219" s="109"/>
      <c r="X219" s="109"/>
      <c r="Y219" s="109"/>
      <c r="Z219" s="112"/>
      <c r="AA219" s="110"/>
      <c r="AB219" s="110"/>
    </row>
    <row r="220" spans="1:28" ht="16.5" customHeight="1">
      <c r="A220" s="140" t="s">
        <v>547</v>
      </c>
      <c r="B220" s="140">
        <v>89</v>
      </c>
      <c r="C220" s="140">
        <v>86</v>
      </c>
      <c r="D220" s="140">
        <v>95</v>
      </c>
      <c r="E220" s="140">
        <v>63</v>
      </c>
      <c r="F220" s="140">
        <v>89</v>
      </c>
      <c r="G220" s="140">
        <v>25</v>
      </c>
      <c r="H220" s="140">
        <v>22</v>
      </c>
      <c r="I220" s="140">
        <v>7</v>
      </c>
      <c r="J220" s="140">
        <v>9</v>
      </c>
      <c r="K220" s="140">
        <v>15</v>
      </c>
      <c r="L220" s="140">
        <v>0</v>
      </c>
      <c r="M220" s="140">
        <v>1.5</v>
      </c>
      <c r="N220" s="140">
        <v>4</v>
      </c>
      <c r="O220" s="141">
        <v>0.15</v>
      </c>
      <c r="P220" s="141">
        <v>0.45</v>
      </c>
      <c r="Q220" s="140">
        <v>1.1</v>
      </c>
      <c r="R220" s="140">
        <v>0.06</v>
      </c>
      <c r="S220" s="140">
        <v>0.26</v>
      </c>
      <c r="T220" s="140">
        <v>30</v>
      </c>
      <c r="U220" s="111"/>
      <c r="V220" s="111"/>
      <c r="W220" s="109"/>
      <c r="X220" s="109"/>
      <c r="Y220" s="109"/>
      <c r="Z220" s="112"/>
      <c r="AA220" s="110"/>
      <c r="AB220" s="110"/>
    </row>
    <row r="221" spans="1:28" ht="16.5" customHeight="1">
      <c r="A221" s="140" t="s">
        <v>552</v>
      </c>
      <c r="B221" s="140">
        <v>89</v>
      </c>
      <c r="C221" s="140">
        <v>71</v>
      </c>
      <c r="D221" s="140">
        <v>74</v>
      </c>
      <c r="E221" s="140">
        <v>46</v>
      </c>
      <c r="F221" s="140">
        <v>73</v>
      </c>
      <c r="G221" s="140">
        <v>5</v>
      </c>
      <c r="H221" s="140"/>
      <c r="I221" s="140">
        <v>19</v>
      </c>
      <c r="J221" s="140">
        <v>31</v>
      </c>
      <c r="K221" s="140">
        <v>66</v>
      </c>
      <c r="L221" s="140">
        <v>20</v>
      </c>
      <c r="M221" s="140">
        <v>1.5</v>
      </c>
      <c r="N221" s="140">
        <v>3</v>
      </c>
      <c r="O221" s="141">
        <v>0.26</v>
      </c>
      <c r="P221" s="141">
        <v>0.12</v>
      </c>
      <c r="Q221" s="140"/>
      <c r="R221" s="140"/>
      <c r="S221" s="140"/>
      <c r="T221" s="140"/>
      <c r="U221" s="111"/>
      <c r="V221" s="111"/>
      <c r="W221" s="109"/>
      <c r="X221" s="109"/>
      <c r="Y221" s="109"/>
      <c r="Z221" s="112"/>
      <c r="AA221" s="110"/>
      <c r="AB221" s="110"/>
    </row>
    <row r="222" spans="1:28" ht="16.5" customHeight="1">
      <c r="A222" s="140" t="s">
        <v>551</v>
      </c>
      <c r="B222" s="140">
        <v>17</v>
      </c>
      <c r="C222" s="140">
        <v>45</v>
      </c>
      <c r="D222" s="140">
        <v>45</v>
      </c>
      <c r="E222" s="140">
        <v>3</v>
      </c>
      <c r="F222" s="140">
        <v>44</v>
      </c>
      <c r="G222" s="140">
        <v>8</v>
      </c>
      <c r="H222" s="140"/>
      <c r="I222" s="140">
        <v>23</v>
      </c>
      <c r="J222" s="140">
        <v>35</v>
      </c>
      <c r="K222" s="140">
        <v>64</v>
      </c>
      <c r="L222" s="140">
        <v>41</v>
      </c>
      <c r="M222" s="140">
        <v>2.6</v>
      </c>
      <c r="N222" s="140">
        <v>7</v>
      </c>
      <c r="O222" s="141">
        <v>0.28</v>
      </c>
      <c r="P222" s="141">
        <v>0.08</v>
      </c>
      <c r="Q222" s="140"/>
      <c r="R222" s="140"/>
      <c r="S222" s="140"/>
      <c r="T222" s="142"/>
      <c r="U222" s="111"/>
      <c r="V222" s="111"/>
      <c r="W222" s="109"/>
      <c r="X222" s="109"/>
      <c r="Y222" s="109"/>
      <c r="Z222" s="112"/>
      <c r="AA222" s="110"/>
      <c r="AB222" s="110"/>
    </row>
    <row r="223" spans="1:28" ht="16.5" customHeight="1">
      <c r="A223" s="140" t="s">
        <v>553</v>
      </c>
      <c r="B223" s="140">
        <v>21</v>
      </c>
      <c r="C223" s="140">
        <v>72</v>
      </c>
      <c r="D223" s="140">
        <v>75</v>
      </c>
      <c r="E223" s="140">
        <v>47</v>
      </c>
      <c r="F223" s="140">
        <v>74</v>
      </c>
      <c r="G223" s="140">
        <v>5</v>
      </c>
      <c r="H223" s="140"/>
      <c r="I223" s="140">
        <v>23</v>
      </c>
      <c r="J223" s="140">
        <v>35</v>
      </c>
      <c r="K223" s="140">
        <v>69</v>
      </c>
      <c r="L223" s="140">
        <v>20</v>
      </c>
      <c r="M223" s="140">
        <v>0.9</v>
      </c>
      <c r="N223" s="140">
        <v>3</v>
      </c>
      <c r="O223" s="141">
        <v>0.24</v>
      </c>
      <c r="P223" s="141">
        <v>0.1</v>
      </c>
      <c r="Q223" s="140"/>
      <c r="R223" s="140"/>
      <c r="S223" s="140"/>
      <c r="T223" s="142"/>
      <c r="U223" s="111"/>
      <c r="V223" s="111"/>
      <c r="W223" s="109"/>
      <c r="X223" s="109"/>
      <c r="Y223" s="109"/>
      <c r="Z223" s="112"/>
      <c r="AA223" s="110"/>
      <c r="AB223" s="110"/>
    </row>
    <row r="224" spans="1:28" ht="16.5" customHeight="1">
      <c r="A224" s="140" t="s">
        <v>554</v>
      </c>
      <c r="B224" s="140">
        <v>15</v>
      </c>
      <c r="C224" s="140">
        <v>59</v>
      </c>
      <c r="D224" s="140">
        <v>59</v>
      </c>
      <c r="E224" s="140">
        <v>28</v>
      </c>
      <c r="F224" s="140">
        <v>59</v>
      </c>
      <c r="G224" s="140">
        <v>15</v>
      </c>
      <c r="H224" s="140"/>
      <c r="I224" s="140">
        <v>26</v>
      </c>
      <c r="J224" s="140"/>
      <c r="K224" s="140"/>
      <c r="L224" s="140"/>
      <c r="M224" s="140">
        <v>3.7</v>
      </c>
      <c r="N224" s="140">
        <v>19</v>
      </c>
      <c r="O224" s="141">
        <v>2.1</v>
      </c>
      <c r="P224" s="141">
        <v>0.29</v>
      </c>
      <c r="Q224" s="140">
        <v>4</v>
      </c>
      <c r="R224" s="140"/>
      <c r="S224" s="140">
        <v>0.37</v>
      </c>
      <c r="T224" s="142"/>
      <c r="U224" s="111"/>
      <c r="V224" s="111"/>
      <c r="W224" s="109"/>
      <c r="X224" s="109"/>
      <c r="Y224" s="109"/>
      <c r="Z224" s="112"/>
      <c r="AA224" s="110"/>
      <c r="AB224" s="110"/>
    </row>
    <row r="225" spans="1:28" ht="16.5" customHeight="1">
      <c r="A225" s="140" t="s">
        <v>52</v>
      </c>
      <c r="B225" s="140">
        <v>89</v>
      </c>
      <c r="C225" s="140">
        <v>85</v>
      </c>
      <c r="D225" s="140">
        <v>93</v>
      </c>
      <c r="E225" s="140">
        <v>62</v>
      </c>
      <c r="F225" s="140">
        <v>88</v>
      </c>
      <c r="G225" s="140">
        <v>8</v>
      </c>
      <c r="H225" s="140">
        <v>0</v>
      </c>
      <c r="I225" s="140">
        <v>7</v>
      </c>
      <c r="J225" s="140">
        <v>9</v>
      </c>
      <c r="K225" s="140">
        <v>15</v>
      </c>
      <c r="L225" s="140">
        <v>0</v>
      </c>
      <c r="M225" s="140">
        <v>0.5</v>
      </c>
      <c r="N225" s="140">
        <v>5</v>
      </c>
      <c r="O225" s="141">
        <v>0.16</v>
      </c>
      <c r="P225" s="141">
        <v>0.25</v>
      </c>
      <c r="Q225" s="140">
        <v>1.2</v>
      </c>
      <c r="R225" s="140">
        <v>0.39</v>
      </c>
      <c r="S225" s="140">
        <v>0.11</v>
      </c>
      <c r="T225" s="140">
        <v>12</v>
      </c>
      <c r="U225" s="111"/>
      <c r="V225" s="111"/>
      <c r="W225" s="109"/>
      <c r="X225" s="109"/>
      <c r="Y225" s="109"/>
      <c r="Z225" s="112"/>
      <c r="AA225" s="110"/>
      <c r="AB225" s="110"/>
    </row>
    <row r="226" spans="1:28" ht="16.5" customHeight="1">
      <c r="A226" s="140" t="s">
        <v>53</v>
      </c>
      <c r="B226" s="140">
        <v>14</v>
      </c>
      <c r="C226" s="140">
        <v>77</v>
      </c>
      <c r="D226" s="140">
        <v>82</v>
      </c>
      <c r="E226" s="140">
        <v>53</v>
      </c>
      <c r="F226" s="140">
        <v>79</v>
      </c>
      <c r="G226" s="140">
        <v>5</v>
      </c>
      <c r="H226" s="140">
        <v>0</v>
      </c>
      <c r="I226" s="140">
        <v>2</v>
      </c>
      <c r="J226" s="140"/>
      <c r="K226" s="140"/>
      <c r="L226" s="140"/>
      <c r="M226" s="140">
        <v>7.7</v>
      </c>
      <c r="N226" s="140">
        <v>3</v>
      </c>
      <c r="O226" s="141">
        <v>0.1</v>
      </c>
      <c r="P226" s="141">
        <v>0.19</v>
      </c>
      <c r="Q226" s="140">
        <v>0.2</v>
      </c>
      <c r="R226" s="140"/>
      <c r="S226" s="140"/>
      <c r="T226" s="140"/>
      <c r="U226" s="111"/>
      <c r="V226" s="111"/>
      <c r="W226" s="109"/>
      <c r="X226" s="109"/>
      <c r="Y226" s="109"/>
      <c r="Z226" s="112"/>
      <c r="AA226" s="110"/>
      <c r="AB226" s="110"/>
    </row>
    <row r="227" spans="1:28" ht="16.5" customHeight="1">
      <c r="A227" s="140" t="s">
        <v>54</v>
      </c>
      <c r="B227" s="140">
        <v>14</v>
      </c>
      <c r="C227" s="140">
        <v>82</v>
      </c>
      <c r="D227" s="140">
        <v>89</v>
      </c>
      <c r="E227" s="140">
        <v>59</v>
      </c>
      <c r="F227" s="140">
        <v>85</v>
      </c>
      <c r="G227" s="140">
        <v>7</v>
      </c>
      <c r="H227" s="140">
        <v>0</v>
      </c>
      <c r="I227" s="140">
        <v>9</v>
      </c>
      <c r="J227" s="140">
        <v>11</v>
      </c>
      <c r="K227" s="140">
        <v>18</v>
      </c>
      <c r="L227" s="140">
        <v>0</v>
      </c>
      <c r="M227" s="140">
        <v>1.5</v>
      </c>
      <c r="N227" s="140">
        <v>3</v>
      </c>
      <c r="O227" s="141">
        <v>0.16</v>
      </c>
      <c r="P227" s="141">
        <v>0.25</v>
      </c>
      <c r="Q227" s="140">
        <v>1.2</v>
      </c>
      <c r="R227" s="140">
        <v>0.36</v>
      </c>
      <c r="S227" s="140">
        <v>0.11</v>
      </c>
      <c r="T227" s="140">
        <v>12</v>
      </c>
      <c r="U227" s="111"/>
      <c r="V227" s="111"/>
      <c r="W227" s="109"/>
      <c r="X227" s="109"/>
      <c r="Y227" s="109"/>
      <c r="Z227" s="112"/>
      <c r="AA227" s="110"/>
      <c r="AB227" s="110"/>
    </row>
    <row r="228" spans="1:28" ht="16.5" customHeight="1">
      <c r="A228" s="140" t="s">
        <v>55</v>
      </c>
      <c r="B228" s="140">
        <v>17</v>
      </c>
      <c r="C228" s="140">
        <v>80</v>
      </c>
      <c r="D228" s="140">
        <v>86</v>
      </c>
      <c r="E228" s="140">
        <v>56</v>
      </c>
      <c r="F228" s="140">
        <v>83</v>
      </c>
      <c r="G228" s="140">
        <v>5</v>
      </c>
      <c r="H228" s="140">
        <v>0</v>
      </c>
      <c r="I228" s="140">
        <v>10</v>
      </c>
      <c r="J228" s="140">
        <v>12</v>
      </c>
      <c r="K228" s="140">
        <v>16</v>
      </c>
      <c r="L228" s="140">
        <v>0</v>
      </c>
      <c r="M228" s="140">
        <v>0.3</v>
      </c>
      <c r="N228" s="140">
        <v>9</v>
      </c>
      <c r="O228" s="141">
        <v>4.2</v>
      </c>
      <c r="P228" s="141">
        <v>0.18</v>
      </c>
      <c r="Q228" s="140"/>
      <c r="R228" s="140"/>
      <c r="S228" s="140"/>
      <c r="T228" s="140"/>
      <c r="U228" s="111"/>
      <c r="V228" s="111"/>
      <c r="W228" s="109"/>
      <c r="X228" s="109"/>
      <c r="Y228" s="109"/>
      <c r="Z228" s="112"/>
      <c r="AA228" s="110"/>
      <c r="AB228" s="110"/>
    </row>
    <row r="229" spans="1:28" ht="16.5" customHeight="1">
      <c r="A229" s="140" t="s">
        <v>555</v>
      </c>
      <c r="B229" s="140">
        <v>21</v>
      </c>
      <c r="C229" s="140">
        <v>80</v>
      </c>
      <c r="D229" s="140">
        <v>86</v>
      </c>
      <c r="E229" s="140">
        <v>56</v>
      </c>
      <c r="F229" s="140">
        <v>83</v>
      </c>
      <c r="G229" s="140">
        <v>10</v>
      </c>
      <c r="H229" s="140">
        <v>0</v>
      </c>
      <c r="I229" s="140">
        <v>2</v>
      </c>
      <c r="J229" s="140">
        <v>3</v>
      </c>
      <c r="K229" s="140">
        <v>4</v>
      </c>
      <c r="L229" s="140">
        <v>0</v>
      </c>
      <c r="M229" s="140">
        <v>0.4</v>
      </c>
      <c r="N229" s="140">
        <v>5</v>
      </c>
      <c r="O229" s="141">
        <v>0.03</v>
      </c>
      <c r="P229" s="141">
        <v>0.24</v>
      </c>
      <c r="Q229" s="140">
        <v>2.2</v>
      </c>
      <c r="R229" s="140">
        <v>0.3</v>
      </c>
      <c r="S229" s="140">
        <v>0.09</v>
      </c>
      <c r="T229" s="140"/>
      <c r="U229" s="111"/>
      <c r="V229" s="111"/>
      <c r="W229" s="109"/>
      <c r="X229" s="109"/>
      <c r="Y229" s="109"/>
      <c r="Z229" s="112"/>
      <c r="AA229" s="110"/>
      <c r="AB229" s="110"/>
    </row>
    <row r="230" spans="1:28" ht="16.5" customHeight="1">
      <c r="A230" s="140" t="s">
        <v>56</v>
      </c>
      <c r="B230" s="140">
        <v>93</v>
      </c>
      <c r="C230" s="140">
        <v>79</v>
      </c>
      <c r="D230" s="140">
        <v>85</v>
      </c>
      <c r="E230" s="140">
        <v>55</v>
      </c>
      <c r="F230" s="140">
        <v>81</v>
      </c>
      <c r="G230" s="140">
        <v>62</v>
      </c>
      <c r="H230" s="140">
        <v>49</v>
      </c>
      <c r="I230" s="140">
        <v>2</v>
      </c>
      <c r="J230" s="140"/>
      <c r="K230" s="140"/>
      <c r="L230" s="140"/>
      <c r="M230" s="140">
        <v>14.5</v>
      </c>
      <c r="N230" s="140">
        <v>17</v>
      </c>
      <c r="O230" s="141">
        <v>4</v>
      </c>
      <c r="P230" s="141">
        <v>2.25</v>
      </c>
      <c r="Q230" s="140">
        <v>0.5</v>
      </c>
      <c r="R230" s="140">
        <v>0.58</v>
      </c>
      <c r="S230" s="140">
        <v>0.56</v>
      </c>
      <c r="T230" s="140">
        <v>129</v>
      </c>
      <c r="U230" s="111"/>
      <c r="V230" s="111"/>
      <c r="W230" s="109"/>
      <c r="X230" s="109"/>
      <c r="Y230" s="109"/>
      <c r="Z230" s="112"/>
      <c r="AA230" s="110"/>
      <c r="AB230" s="110"/>
    </row>
    <row r="231" spans="1:28" ht="16.5" customHeight="1">
      <c r="A231" s="140" t="s">
        <v>57</v>
      </c>
      <c r="B231" s="140">
        <v>89</v>
      </c>
      <c r="C231" s="140">
        <v>38</v>
      </c>
      <c r="D231" s="140">
        <v>40</v>
      </c>
      <c r="E231" s="140">
        <v>0</v>
      </c>
      <c r="F231" s="140">
        <v>36</v>
      </c>
      <c r="G231" s="140">
        <v>28</v>
      </c>
      <c r="H231" s="140">
        <v>22</v>
      </c>
      <c r="I231" s="140">
        <v>13</v>
      </c>
      <c r="J231" s="140">
        <v>15</v>
      </c>
      <c r="K231" s="140">
        <v>35</v>
      </c>
      <c r="L231" s="140">
        <v>0</v>
      </c>
      <c r="M231" s="140">
        <v>2.1</v>
      </c>
      <c r="N231" s="140">
        <v>33</v>
      </c>
      <c r="O231" s="141">
        <v>10.2</v>
      </c>
      <c r="P231" s="141">
        <v>2.8</v>
      </c>
      <c r="Q231" s="140">
        <v>2.3</v>
      </c>
      <c r="R231" s="140">
        <v>1.05</v>
      </c>
      <c r="S231" s="140">
        <v>0.2</v>
      </c>
      <c r="T231" s="140">
        <v>520</v>
      </c>
      <c r="U231" s="111"/>
      <c r="V231" s="111"/>
      <c r="W231" s="109"/>
      <c r="X231" s="109"/>
      <c r="Y231" s="109"/>
      <c r="Z231" s="112"/>
      <c r="AA231" s="110"/>
      <c r="AB231" s="110"/>
    </row>
    <row r="232" spans="1:28" ht="16.5" customHeight="1">
      <c r="A232" s="140" t="s">
        <v>556</v>
      </c>
      <c r="B232" s="140">
        <v>91</v>
      </c>
      <c r="C232" s="140">
        <v>50</v>
      </c>
      <c r="D232" s="140">
        <v>50</v>
      </c>
      <c r="E232" s="140">
        <v>12</v>
      </c>
      <c r="F232" s="140">
        <v>49</v>
      </c>
      <c r="G232" s="140">
        <v>7</v>
      </c>
      <c r="H232" s="140">
        <v>37</v>
      </c>
      <c r="I232" s="140">
        <v>34</v>
      </c>
      <c r="J232" s="140">
        <v>47</v>
      </c>
      <c r="K232" s="140">
        <v>67</v>
      </c>
      <c r="L232" s="140">
        <v>98</v>
      </c>
      <c r="M232" s="140">
        <v>2</v>
      </c>
      <c r="N232" s="140">
        <v>8</v>
      </c>
      <c r="O232" s="141">
        <v>0.4</v>
      </c>
      <c r="P232" s="141">
        <v>0.15</v>
      </c>
      <c r="Q232" s="140">
        <v>1.1</v>
      </c>
      <c r="R232" s="140">
        <v>0.06</v>
      </c>
      <c r="S232" s="140">
        <v>0.06</v>
      </c>
      <c r="T232" s="140">
        <v>34</v>
      </c>
      <c r="U232" s="111"/>
      <c r="V232" s="111"/>
      <c r="W232" s="109"/>
      <c r="X232" s="109"/>
      <c r="Y232" s="109"/>
      <c r="Z232" s="112"/>
      <c r="AA232" s="110"/>
      <c r="AB232" s="110"/>
    </row>
    <row r="233" spans="1:28" ht="16.5" customHeight="1">
      <c r="A233" s="140" t="s">
        <v>557</v>
      </c>
      <c r="B233" s="140">
        <v>10</v>
      </c>
      <c r="C233" s="140">
        <v>85</v>
      </c>
      <c r="D233" s="140">
        <v>93</v>
      </c>
      <c r="E233" s="140">
        <v>62</v>
      </c>
      <c r="F233" s="140">
        <v>88</v>
      </c>
      <c r="G233" s="140">
        <v>16</v>
      </c>
      <c r="H233" s="140"/>
      <c r="I233" s="140">
        <v>14</v>
      </c>
      <c r="J233" s="140">
        <v>18</v>
      </c>
      <c r="K233" s="140">
        <v>25</v>
      </c>
      <c r="L233" s="140">
        <v>0</v>
      </c>
      <c r="M233" s="140">
        <v>8.9</v>
      </c>
      <c r="N233" s="140">
        <v>9</v>
      </c>
      <c r="O233" s="141">
        <v>0.24</v>
      </c>
      <c r="P233" s="141">
        <v>0.43</v>
      </c>
      <c r="Q233" s="140">
        <v>3.3</v>
      </c>
      <c r="R233" s="140"/>
      <c r="S233" s="140"/>
      <c r="T233" s="140"/>
      <c r="U233" s="111"/>
      <c r="V233" s="111"/>
      <c r="W233" s="109"/>
      <c r="X233" s="109"/>
      <c r="Y233" s="109"/>
      <c r="Z233" s="112"/>
      <c r="AA233" s="110"/>
      <c r="AB233" s="110"/>
    </row>
    <row r="234" spans="1:28" ht="16.5" customHeight="1">
      <c r="A234" s="140" t="s">
        <v>561</v>
      </c>
      <c r="B234" s="140">
        <v>91</v>
      </c>
      <c r="C234" s="140">
        <v>72</v>
      </c>
      <c r="D234" s="140">
        <v>75</v>
      </c>
      <c r="E234" s="140">
        <v>47</v>
      </c>
      <c r="F234" s="140">
        <v>74</v>
      </c>
      <c r="G234" s="140">
        <v>14</v>
      </c>
      <c r="H234" s="140">
        <v>30</v>
      </c>
      <c r="I234" s="140">
        <v>13</v>
      </c>
      <c r="J234" s="140">
        <v>18</v>
      </c>
      <c r="K234" s="140">
        <v>24</v>
      </c>
      <c r="L234" s="140">
        <v>0</v>
      </c>
      <c r="M234" s="140">
        <v>17</v>
      </c>
      <c r="N234" s="140">
        <v>11</v>
      </c>
      <c r="O234" s="141">
        <v>0.07</v>
      </c>
      <c r="P234" s="141">
        <v>1.7</v>
      </c>
      <c r="Q234" s="140">
        <v>1.8</v>
      </c>
      <c r="R234" s="140">
        <v>0.09</v>
      </c>
      <c r="S234" s="140">
        <v>0.19</v>
      </c>
      <c r="T234" s="140">
        <v>40</v>
      </c>
      <c r="U234" s="111"/>
      <c r="V234" s="111"/>
      <c r="W234" s="109"/>
      <c r="X234" s="109"/>
      <c r="Y234" s="109"/>
      <c r="Z234" s="112"/>
      <c r="AA234" s="110"/>
      <c r="AB234" s="110"/>
    </row>
    <row r="235" spans="1:28" ht="16.5" customHeight="1">
      <c r="A235" s="140" t="s">
        <v>559</v>
      </c>
      <c r="B235" s="140">
        <v>89</v>
      </c>
      <c r="C235" s="140">
        <v>79</v>
      </c>
      <c r="D235" s="140">
        <v>85</v>
      </c>
      <c r="E235" s="140">
        <v>55</v>
      </c>
      <c r="F235" s="140">
        <v>81</v>
      </c>
      <c r="G235" s="140">
        <v>8</v>
      </c>
      <c r="H235" s="140">
        <v>30</v>
      </c>
      <c r="I235" s="140">
        <v>10</v>
      </c>
      <c r="J235" s="140">
        <v>12</v>
      </c>
      <c r="K235" s="140">
        <v>16</v>
      </c>
      <c r="L235" s="140">
        <v>34</v>
      </c>
      <c r="M235" s="140">
        <v>1.9</v>
      </c>
      <c r="N235" s="140">
        <v>5</v>
      </c>
      <c r="O235" s="141">
        <v>0.07</v>
      </c>
      <c r="P235" s="141">
        <v>0.32</v>
      </c>
      <c r="Q235" s="140">
        <v>0.4</v>
      </c>
      <c r="R235" s="140">
        <v>0.09</v>
      </c>
      <c r="S235" s="140">
        <v>0.05</v>
      </c>
      <c r="T235" s="140">
        <v>17</v>
      </c>
      <c r="U235" s="111"/>
      <c r="V235" s="111"/>
      <c r="W235" s="109"/>
      <c r="X235" s="109"/>
      <c r="Y235" s="109"/>
      <c r="Z235" s="112"/>
      <c r="AA235" s="110"/>
      <c r="AB235" s="110"/>
    </row>
    <row r="236" spans="1:28" ht="16.5" customHeight="1">
      <c r="A236" s="140" t="s">
        <v>562</v>
      </c>
      <c r="B236" s="140">
        <v>92</v>
      </c>
      <c r="C236" s="140">
        <v>13</v>
      </c>
      <c r="D236" s="140">
        <v>35</v>
      </c>
      <c r="E236" s="140">
        <v>0</v>
      </c>
      <c r="F236" s="140">
        <v>8</v>
      </c>
      <c r="G236" s="140">
        <v>3</v>
      </c>
      <c r="H236" s="140">
        <v>45</v>
      </c>
      <c r="I236" s="140">
        <v>44</v>
      </c>
      <c r="J236" s="140">
        <v>70</v>
      </c>
      <c r="K236" s="140">
        <v>81</v>
      </c>
      <c r="L236" s="140">
        <v>90</v>
      </c>
      <c r="M236" s="140">
        <v>0.9</v>
      </c>
      <c r="N236" s="140">
        <v>20</v>
      </c>
      <c r="O236" s="141">
        <v>0.14</v>
      </c>
      <c r="P236" s="141">
        <v>0.07</v>
      </c>
      <c r="Q236" s="140">
        <v>0.5</v>
      </c>
      <c r="R236" s="140">
        <v>0.08</v>
      </c>
      <c r="S236" s="140">
        <v>0.08</v>
      </c>
      <c r="T236" s="140">
        <v>24</v>
      </c>
      <c r="U236" s="111"/>
      <c r="V236" s="111"/>
      <c r="W236" s="109"/>
      <c r="X236" s="109"/>
      <c r="Y236" s="109"/>
      <c r="Z236" s="112"/>
      <c r="AA236" s="110"/>
      <c r="AB236" s="110"/>
    </row>
    <row r="237" spans="1:28" ht="16.5" customHeight="1">
      <c r="A237" s="140" t="s">
        <v>58</v>
      </c>
      <c r="B237" s="140">
        <v>91</v>
      </c>
      <c r="C237" s="140">
        <v>42</v>
      </c>
      <c r="D237" s="140">
        <v>43</v>
      </c>
      <c r="E237" s="140">
        <v>0</v>
      </c>
      <c r="F237" s="140">
        <v>40</v>
      </c>
      <c r="G237" s="140">
        <v>7</v>
      </c>
      <c r="H237" s="140"/>
      <c r="I237" s="140">
        <v>32</v>
      </c>
      <c r="J237" s="140">
        <v>48</v>
      </c>
      <c r="K237" s="140">
        <v>60</v>
      </c>
      <c r="L237" s="140">
        <v>0</v>
      </c>
      <c r="M237" s="140">
        <v>5.7</v>
      </c>
      <c r="N237" s="140"/>
      <c r="O237" s="141">
        <v>0.4</v>
      </c>
      <c r="P237" s="141">
        <v>0.31</v>
      </c>
      <c r="Q237" s="140">
        <v>2.2</v>
      </c>
      <c r="R237" s="140"/>
      <c r="S237" s="140">
        <v>0.3</v>
      </c>
      <c r="T237" s="140">
        <v>31</v>
      </c>
      <c r="U237" s="111"/>
      <c r="V237" s="111"/>
      <c r="W237" s="109"/>
      <c r="X237" s="109"/>
      <c r="Y237" s="109"/>
      <c r="Z237" s="112"/>
      <c r="AA237" s="110"/>
      <c r="AB237" s="110"/>
    </row>
    <row r="238" spans="1:28" ht="16.5" customHeight="1">
      <c r="A238" s="140" t="s">
        <v>560</v>
      </c>
      <c r="B238" s="140">
        <v>90</v>
      </c>
      <c r="C238" s="140">
        <v>90</v>
      </c>
      <c r="D238" s="140">
        <v>100</v>
      </c>
      <c r="E238" s="140">
        <v>68</v>
      </c>
      <c r="F238" s="140">
        <v>94</v>
      </c>
      <c r="G238" s="140">
        <v>14</v>
      </c>
      <c r="H238" s="140"/>
      <c r="I238" s="140">
        <v>4</v>
      </c>
      <c r="J238" s="140">
        <v>5</v>
      </c>
      <c r="K238" s="140"/>
      <c r="L238" s="140"/>
      <c r="M238" s="140">
        <v>14</v>
      </c>
      <c r="N238" s="140">
        <v>9</v>
      </c>
      <c r="O238" s="141">
        <v>0.05</v>
      </c>
      <c r="P238" s="141">
        <v>1.36</v>
      </c>
      <c r="Q238" s="140">
        <v>1.2</v>
      </c>
      <c r="R238" s="140">
        <v>0.12</v>
      </c>
      <c r="S238" s="140">
        <v>0.19</v>
      </c>
      <c r="T238" s="140">
        <v>28</v>
      </c>
      <c r="U238" s="111"/>
      <c r="V238" s="111"/>
      <c r="W238" s="109"/>
      <c r="X238" s="109"/>
      <c r="Y238" s="109"/>
      <c r="Z238" s="112"/>
      <c r="AA238" s="110"/>
      <c r="AB238" s="110"/>
    </row>
    <row r="239" spans="1:28" ht="16.5" customHeight="1">
      <c r="A239" s="140" t="s">
        <v>558</v>
      </c>
      <c r="B239" s="140">
        <v>91</v>
      </c>
      <c r="C239" s="140">
        <v>40</v>
      </c>
      <c r="D239" s="140">
        <v>42</v>
      </c>
      <c r="E239" s="140">
        <v>0</v>
      </c>
      <c r="F239" s="140">
        <v>38</v>
      </c>
      <c r="G239" s="140">
        <v>4</v>
      </c>
      <c r="H239" s="140"/>
      <c r="I239" s="140">
        <v>40</v>
      </c>
      <c r="J239" s="140">
        <v>55</v>
      </c>
      <c r="K239" s="140">
        <v>72</v>
      </c>
      <c r="L239" s="140">
        <v>100</v>
      </c>
      <c r="M239" s="140">
        <v>1.4</v>
      </c>
      <c r="N239" s="140">
        <v>12</v>
      </c>
      <c r="O239" s="141">
        <v>0.25</v>
      </c>
      <c r="P239" s="141">
        <v>0.08</v>
      </c>
      <c r="Q239" s="140">
        <v>1.1</v>
      </c>
      <c r="R239" s="140"/>
      <c r="S239" s="140">
        <v>0.11</v>
      </c>
      <c r="T239" s="140"/>
      <c r="U239" s="111"/>
      <c r="V239" s="111"/>
      <c r="W239" s="109"/>
      <c r="X239" s="109"/>
      <c r="Y239" s="109"/>
      <c r="Z239" s="112"/>
      <c r="AA239" s="110"/>
      <c r="AB239" s="110"/>
    </row>
    <row r="240" spans="1:28" ht="16.5" customHeight="1">
      <c r="A240" s="140" t="s">
        <v>59</v>
      </c>
      <c r="B240" s="140">
        <v>87</v>
      </c>
      <c r="C240" s="140">
        <v>45</v>
      </c>
      <c r="D240" s="140">
        <v>45</v>
      </c>
      <c r="E240" s="140">
        <v>3</v>
      </c>
      <c r="F240" s="140">
        <v>44</v>
      </c>
      <c r="G240" s="140">
        <v>9</v>
      </c>
      <c r="H240" s="140"/>
      <c r="I240" s="140">
        <v>39</v>
      </c>
      <c r="J240" s="140">
        <v>53</v>
      </c>
      <c r="K240" s="140">
        <v>68</v>
      </c>
      <c r="L240" s="140">
        <v>100</v>
      </c>
      <c r="M240" s="140">
        <v>1.3</v>
      </c>
      <c r="N240" s="140">
        <v>12</v>
      </c>
      <c r="O240" s="141">
        <v>0.25</v>
      </c>
      <c r="P240" s="141">
        <v>0.08</v>
      </c>
      <c r="Q240" s="140">
        <v>1.1</v>
      </c>
      <c r="R240" s="140"/>
      <c r="S240" s="140">
        <v>0.11</v>
      </c>
      <c r="T240" s="140"/>
      <c r="U240" s="111"/>
      <c r="V240" s="111"/>
      <c r="W240" s="109"/>
      <c r="X240" s="109"/>
      <c r="Y240" s="109"/>
      <c r="Z240" s="112"/>
      <c r="AA240" s="110"/>
      <c r="AB240" s="110"/>
    </row>
    <row r="241" spans="1:28" ht="16.5" customHeight="1">
      <c r="A241" s="140" t="s">
        <v>514</v>
      </c>
      <c r="B241" s="140">
        <v>89</v>
      </c>
      <c r="C241" s="140">
        <v>82</v>
      </c>
      <c r="D241" s="140">
        <v>89</v>
      </c>
      <c r="E241" s="140">
        <v>59</v>
      </c>
      <c r="F241" s="140">
        <v>85</v>
      </c>
      <c r="G241" s="140">
        <v>12</v>
      </c>
      <c r="H241" s="140">
        <v>20</v>
      </c>
      <c r="I241" s="140">
        <v>2</v>
      </c>
      <c r="J241" s="140">
        <v>9</v>
      </c>
      <c r="K241" s="140">
        <v>19</v>
      </c>
      <c r="L241" s="140">
        <v>34</v>
      </c>
      <c r="M241" s="140">
        <v>1.7</v>
      </c>
      <c r="N241" s="140">
        <v>2</v>
      </c>
      <c r="O241" s="141">
        <v>0.07</v>
      </c>
      <c r="P241" s="141">
        <v>0.39</v>
      </c>
      <c r="Q241" s="140">
        <v>0.5</v>
      </c>
      <c r="R241" s="140">
        <v>0.03</v>
      </c>
      <c r="S241" s="140">
        <v>0.17</v>
      </c>
      <c r="T241" s="140">
        <v>33</v>
      </c>
      <c r="U241" s="111"/>
      <c r="V241" s="111"/>
      <c r="W241" s="109"/>
      <c r="X241" s="109"/>
      <c r="Y241" s="109"/>
      <c r="Z241" s="112"/>
      <c r="AA241" s="110"/>
      <c r="AB241" s="110"/>
    </row>
    <row r="242" spans="1:28" ht="16.5" customHeight="1">
      <c r="A242" s="140" t="s">
        <v>60</v>
      </c>
      <c r="B242" s="140">
        <v>90</v>
      </c>
      <c r="C242" s="140">
        <v>58</v>
      </c>
      <c r="D242" s="140">
        <v>58</v>
      </c>
      <c r="E242" s="140">
        <v>26</v>
      </c>
      <c r="F242" s="140">
        <v>58</v>
      </c>
      <c r="G242" s="140">
        <v>10</v>
      </c>
      <c r="H242" s="140">
        <v>30</v>
      </c>
      <c r="I242" s="140">
        <v>33</v>
      </c>
      <c r="J242" s="140">
        <v>38</v>
      </c>
      <c r="K242" s="140">
        <v>65</v>
      </c>
      <c r="L242" s="140">
        <v>98</v>
      </c>
      <c r="M242" s="140">
        <v>3.3</v>
      </c>
      <c r="N242" s="140">
        <v>8</v>
      </c>
      <c r="O242" s="141">
        <v>0.45</v>
      </c>
      <c r="P242" s="141">
        <v>0.3</v>
      </c>
      <c r="Q242" s="140">
        <v>2.2</v>
      </c>
      <c r="R242" s="140"/>
      <c r="S242" s="140">
        <v>0.18</v>
      </c>
      <c r="T242" s="140">
        <v>27</v>
      </c>
      <c r="U242" s="111"/>
      <c r="V242" s="111"/>
      <c r="W242" s="109"/>
      <c r="X242" s="109"/>
      <c r="Y242" s="109"/>
      <c r="Z242" s="112"/>
      <c r="AA242" s="110"/>
      <c r="AB242" s="110"/>
    </row>
    <row r="243" spans="1:28" ht="16.5" customHeight="1">
      <c r="A243" s="140" t="s">
        <v>61</v>
      </c>
      <c r="B243" s="140">
        <v>32</v>
      </c>
      <c r="C243" s="140">
        <v>59</v>
      </c>
      <c r="D243" s="140">
        <v>59</v>
      </c>
      <c r="E243" s="140">
        <v>28</v>
      </c>
      <c r="F243" s="140">
        <v>59</v>
      </c>
      <c r="G243" s="140">
        <v>14</v>
      </c>
      <c r="H243" s="140">
        <v>25</v>
      </c>
      <c r="I243" s="140">
        <v>22</v>
      </c>
      <c r="J243" s="140">
        <v>37</v>
      </c>
      <c r="K243" s="140">
        <v>59</v>
      </c>
      <c r="L243" s="140">
        <v>61</v>
      </c>
      <c r="M243" s="140">
        <v>3.3</v>
      </c>
      <c r="N243" s="140">
        <v>8</v>
      </c>
      <c r="O243" s="141">
        <v>0.43</v>
      </c>
      <c r="P243" s="141">
        <v>0.38</v>
      </c>
      <c r="Q243" s="140">
        <v>2.9</v>
      </c>
      <c r="R243" s="140">
        <v>0.73</v>
      </c>
      <c r="S243" s="140">
        <v>0.23</v>
      </c>
      <c r="T243" s="140">
        <v>29</v>
      </c>
      <c r="U243" s="111"/>
      <c r="V243" s="111"/>
      <c r="W243" s="109"/>
      <c r="X243" s="109"/>
      <c r="Y243" s="109"/>
      <c r="Z243" s="112"/>
      <c r="AA243" s="110"/>
      <c r="AB243" s="110"/>
    </row>
    <row r="244" spans="1:28" ht="16.5" customHeight="1">
      <c r="A244" s="140" t="s">
        <v>515</v>
      </c>
      <c r="B244" s="140">
        <v>89</v>
      </c>
      <c r="C244" s="140">
        <v>44</v>
      </c>
      <c r="D244" s="140">
        <v>44</v>
      </c>
      <c r="E244" s="140">
        <v>1</v>
      </c>
      <c r="F244" s="140">
        <v>43</v>
      </c>
      <c r="G244" s="140">
        <v>4</v>
      </c>
      <c r="H244" s="140"/>
      <c r="I244" s="140">
        <v>44</v>
      </c>
      <c r="J244" s="140">
        <v>55</v>
      </c>
      <c r="K244" s="140">
        <v>71</v>
      </c>
      <c r="L244" s="140">
        <v>100</v>
      </c>
      <c r="M244" s="140">
        <v>1.5</v>
      </c>
      <c r="N244" s="140">
        <v>6</v>
      </c>
      <c r="O244" s="141">
        <v>0.24</v>
      </c>
      <c r="P244" s="141">
        <v>0.09</v>
      </c>
      <c r="Q244" s="140">
        <v>1</v>
      </c>
      <c r="R244" s="140">
        <v>0.24</v>
      </c>
      <c r="S244" s="140">
        <v>0.11</v>
      </c>
      <c r="T244" s="140"/>
      <c r="U244" s="111"/>
      <c r="V244" s="111"/>
      <c r="W244" s="109"/>
      <c r="X244" s="109"/>
      <c r="Y244" s="109"/>
      <c r="Z244" s="112"/>
      <c r="AA244" s="110"/>
      <c r="AB244" s="110"/>
    </row>
    <row r="245" spans="1:28" ht="16.5" customHeight="1">
      <c r="A245" s="140" t="s">
        <v>62</v>
      </c>
      <c r="B245" s="140">
        <v>91</v>
      </c>
      <c r="C245" s="140">
        <v>76</v>
      </c>
      <c r="D245" s="140">
        <v>81</v>
      </c>
      <c r="E245" s="140">
        <v>52</v>
      </c>
      <c r="F245" s="140">
        <v>78</v>
      </c>
      <c r="G245" s="140">
        <v>48</v>
      </c>
      <c r="H245" s="140"/>
      <c r="I245" s="140">
        <v>9</v>
      </c>
      <c r="J245" s="140"/>
      <c r="K245" s="140"/>
      <c r="L245" s="140"/>
      <c r="M245" s="140">
        <v>0.6</v>
      </c>
      <c r="N245" s="140">
        <v>7</v>
      </c>
      <c r="O245" s="141">
        <v>0.38</v>
      </c>
      <c r="P245" s="141">
        <v>1.6</v>
      </c>
      <c r="Q245" s="140">
        <v>1.2</v>
      </c>
      <c r="R245" s="140">
        <v>0.18</v>
      </c>
      <c r="S245" s="140">
        <v>0.22</v>
      </c>
      <c r="T245" s="140">
        <v>36</v>
      </c>
      <c r="U245" s="111"/>
      <c r="V245" s="111"/>
      <c r="W245" s="109"/>
      <c r="X245" s="109"/>
      <c r="Y245" s="109"/>
      <c r="Z245" s="112"/>
      <c r="AA245" s="110"/>
      <c r="AB245" s="110"/>
    </row>
    <row r="246" spans="1:28" ht="16.5" customHeight="1">
      <c r="A246" s="140" t="s">
        <v>63</v>
      </c>
      <c r="B246" s="140">
        <v>91</v>
      </c>
      <c r="C246" s="140">
        <v>55</v>
      </c>
      <c r="D246" s="140">
        <v>55</v>
      </c>
      <c r="E246" s="140">
        <v>21</v>
      </c>
      <c r="F246" s="140">
        <v>55</v>
      </c>
      <c r="G246" s="140">
        <v>24</v>
      </c>
      <c r="H246" s="140"/>
      <c r="I246" s="140">
        <v>33</v>
      </c>
      <c r="J246" s="140">
        <v>41</v>
      </c>
      <c r="K246" s="140">
        <v>57</v>
      </c>
      <c r="L246" s="140">
        <v>36</v>
      </c>
      <c r="M246" s="140">
        <v>1.2</v>
      </c>
      <c r="N246" s="140">
        <v>6</v>
      </c>
      <c r="O246" s="141">
        <v>0.35</v>
      </c>
      <c r="P246" s="141">
        <v>0.78</v>
      </c>
      <c r="Q246" s="140">
        <v>1</v>
      </c>
      <c r="R246" s="140">
        <v>0.21</v>
      </c>
      <c r="S246" s="140">
        <v>0.23</v>
      </c>
      <c r="T246" s="140">
        <v>65</v>
      </c>
      <c r="U246" s="111"/>
      <c r="V246" s="111"/>
      <c r="W246" s="109"/>
      <c r="X246" s="109"/>
      <c r="Y246" s="109"/>
      <c r="Z246" s="112"/>
      <c r="AA246" s="110"/>
      <c r="AB246" s="110"/>
    </row>
    <row r="247" spans="1:28" ht="16.5" customHeight="1">
      <c r="A247" s="140" t="s">
        <v>64</v>
      </c>
      <c r="B247" s="140">
        <v>50</v>
      </c>
      <c r="C247" s="140">
        <v>50</v>
      </c>
      <c r="D247" s="140">
        <v>50</v>
      </c>
      <c r="E247" s="140">
        <v>12</v>
      </c>
      <c r="F247" s="140">
        <v>49</v>
      </c>
      <c r="G247" s="140">
        <v>13</v>
      </c>
      <c r="H247" s="140"/>
      <c r="I247" s="140">
        <v>25</v>
      </c>
      <c r="J247" s="140">
        <v>28</v>
      </c>
      <c r="K247" s="140">
        <v>36</v>
      </c>
      <c r="L247" s="140"/>
      <c r="M247" s="140">
        <v>9.2</v>
      </c>
      <c r="N247" s="140">
        <v>10</v>
      </c>
      <c r="O247" s="141">
        <v>1</v>
      </c>
      <c r="P247" s="141">
        <v>0.25</v>
      </c>
      <c r="Q247" s="140"/>
      <c r="R247" s="140"/>
      <c r="S247" s="140">
        <v>0.22</v>
      </c>
      <c r="T247" s="140"/>
      <c r="U247" s="111"/>
      <c r="V247" s="111"/>
      <c r="W247" s="109"/>
      <c r="X247" s="109"/>
      <c r="Y247" s="109"/>
      <c r="Z247" s="112"/>
      <c r="AA247" s="110"/>
      <c r="AB247" s="110"/>
    </row>
    <row r="248" spans="1:28" ht="16.5" customHeight="1">
      <c r="A248" s="140" t="s">
        <v>65</v>
      </c>
      <c r="B248" s="140">
        <v>88</v>
      </c>
      <c r="C248" s="140">
        <v>61</v>
      </c>
      <c r="D248" s="140">
        <v>62</v>
      </c>
      <c r="E248" s="140">
        <v>31</v>
      </c>
      <c r="F248" s="140">
        <v>62</v>
      </c>
      <c r="G248" s="140">
        <v>14</v>
      </c>
      <c r="H248" s="140">
        <v>60</v>
      </c>
      <c r="I248" s="140">
        <v>24</v>
      </c>
      <c r="J248" s="140"/>
      <c r="K248" s="140"/>
      <c r="L248" s="140"/>
      <c r="M248" s="140">
        <v>3.1</v>
      </c>
      <c r="N248" s="140"/>
      <c r="O248" s="141"/>
      <c r="P248" s="141"/>
      <c r="Q248" s="140"/>
      <c r="R248" s="140"/>
      <c r="S248" s="140"/>
      <c r="T248" s="140">
        <v>9</v>
      </c>
      <c r="U248" s="111"/>
      <c r="V248" s="111"/>
      <c r="W248" s="109"/>
      <c r="X248" s="109"/>
      <c r="Y248" s="109"/>
      <c r="Z248" s="112"/>
      <c r="AA248" s="110"/>
      <c r="AB248" s="110"/>
    </row>
    <row r="249" spans="1:28" ht="16.5" customHeight="1">
      <c r="A249" s="140" t="s">
        <v>563</v>
      </c>
      <c r="B249" s="140">
        <v>90</v>
      </c>
      <c r="C249" s="140">
        <v>48</v>
      </c>
      <c r="D249" s="140">
        <v>48</v>
      </c>
      <c r="E249" s="140">
        <v>9</v>
      </c>
      <c r="F249" s="140">
        <v>47</v>
      </c>
      <c r="G249" s="140">
        <v>50</v>
      </c>
      <c r="H249" s="140">
        <v>60</v>
      </c>
      <c r="I249" s="140">
        <v>11</v>
      </c>
      <c r="J249" s="140"/>
      <c r="K249" s="140"/>
      <c r="L249" s="140"/>
      <c r="M249" s="140">
        <v>5.5</v>
      </c>
      <c r="N249" s="140">
        <v>25</v>
      </c>
      <c r="O249" s="141">
        <v>8.5</v>
      </c>
      <c r="P249" s="141">
        <v>1.75</v>
      </c>
      <c r="Q249" s="140"/>
      <c r="R249" s="140">
        <v>1.15</v>
      </c>
      <c r="S249" s="140"/>
      <c r="T249" s="140"/>
      <c r="U249" s="111"/>
      <c r="V249" s="111"/>
      <c r="W249" s="109"/>
      <c r="X249" s="109"/>
      <c r="Y249" s="109"/>
      <c r="Z249" s="112"/>
      <c r="AA249" s="110"/>
      <c r="AB249" s="110"/>
    </row>
    <row r="250" spans="1:28" ht="16.5" customHeight="1">
      <c r="A250" s="140" t="s">
        <v>564</v>
      </c>
      <c r="B250" s="140">
        <v>96</v>
      </c>
      <c r="C250" s="140">
        <v>0</v>
      </c>
      <c r="D250" s="140">
        <v>0</v>
      </c>
      <c r="E250" s="140">
        <v>0</v>
      </c>
      <c r="F250" s="140">
        <v>0</v>
      </c>
      <c r="G250" s="140"/>
      <c r="H250" s="140">
        <v>0</v>
      </c>
      <c r="I250" s="140">
        <v>0</v>
      </c>
      <c r="J250" s="140">
        <v>0</v>
      </c>
      <c r="K250" s="140">
        <v>0</v>
      </c>
      <c r="L250" s="140">
        <v>0</v>
      </c>
      <c r="M250" s="140">
        <v>0</v>
      </c>
      <c r="N250" s="140">
        <v>96</v>
      </c>
      <c r="O250" s="141">
        <v>0</v>
      </c>
      <c r="P250" s="141">
        <v>25.98</v>
      </c>
      <c r="Q250" s="140">
        <v>0</v>
      </c>
      <c r="R250" s="140"/>
      <c r="S250" s="140">
        <v>0</v>
      </c>
      <c r="T250" s="140"/>
      <c r="U250" s="111"/>
      <c r="V250" s="111"/>
      <c r="W250" s="109"/>
      <c r="X250" s="109"/>
      <c r="Y250" s="109"/>
      <c r="Z250" s="112"/>
      <c r="AA250" s="110"/>
      <c r="AB250" s="110"/>
    </row>
    <row r="251" spans="1:28" ht="16.5" customHeight="1">
      <c r="A251" s="140" t="s">
        <v>66</v>
      </c>
      <c r="B251" s="140">
        <v>82</v>
      </c>
      <c r="C251" s="140">
        <v>90</v>
      </c>
      <c r="D251" s="140">
        <v>100</v>
      </c>
      <c r="E251" s="140">
        <v>68</v>
      </c>
      <c r="F251" s="140">
        <v>94</v>
      </c>
      <c r="G251" s="140">
        <v>11</v>
      </c>
      <c r="H251" s="140">
        <v>62</v>
      </c>
      <c r="I251" s="140">
        <v>3</v>
      </c>
      <c r="J251" s="140">
        <v>6</v>
      </c>
      <c r="K251" s="140">
        <v>15</v>
      </c>
      <c r="L251" s="140">
        <v>38</v>
      </c>
      <c r="M251" s="140">
        <v>3.1</v>
      </c>
      <c r="N251" s="140">
        <v>2</v>
      </c>
      <c r="O251" s="141">
        <v>0.04</v>
      </c>
      <c r="P251" s="141">
        <v>0.28</v>
      </c>
      <c r="Q251" s="140">
        <v>0.4</v>
      </c>
      <c r="R251" s="140">
        <v>0.1</v>
      </c>
      <c r="S251" s="140">
        <v>0.14</v>
      </c>
      <c r="T251" s="140">
        <v>18</v>
      </c>
      <c r="U251" s="111"/>
      <c r="V251" s="111"/>
      <c r="W251" s="109"/>
      <c r="X251" s="109"/>
      <c r="Y251" s="109"/>
      <c r="Z251" s="112"/>
      <c r="AA251" s="110"/>
      <c r="AB251" s="110"/>
    </row>
    <row r="252" spans="1:28" ht="16.5" customHeight="1">
      <c r="A252" s="140" t="s">
        <v>67</v>
      </c>
      <c r="B252" s="140">
        <v>89</v>
      </c>
      <c r="C252" s="140">
        <v>82</v>
      </c>
      <c r="D252" s="140">
        <v>89</v>
      </c>
      <c r="E252" s="140">
        <v>59</v>
      </c>
      <c r="F252" s="140">
        <v>85</v>
      </c>
      <c r="G252" s="140">
        <v>11</v>
      </c>
      <c r="H252" s="140">
        <v>55</v>
      </c>
      <c r="I252" s="140">
        <v>3</v>
      </c>
      <c r="J252" s="140">
        <v>6</v>
      </c>
      <c r="K252" s="140">
        <v>15</v>
      </c>
      <c r="L252" s="140">
        <v>5</v>
      </c>
      <c r="M252" s="140">
        <v>3.1</v>
      </c>
      <c r="N252" s="140">
        <v>2</v>
      </c>
      <c r="O252" s="141">
        <v>0.04</v>
      </c>
      <c r="P252" s="141">
        <v>0.32</v>
      </c>
      <c r="Q252" s="140">
        <v>0.4</v>
      </c>
      <c r="R252" s="140">
        <v>0.1</v>
      </c>
      <c r="S252" s="140">
        <v>0.14</v>
      </c>
      <c r="T252" s="140">
        <v>18</v>
      </c>
      <c r="U252" s="111"/>
      <c r="V252" s="111"/>
      <c r="W252" s="109"/>
      <c r="X252" s="109"/>
      <c r="Y252" s="109"/>
      <c r="Z252" s="112"/>
      <c r="AA252" s="110"/>
      <c r="AB252" s="110"/>
    </row>
    <row r="253" spans="1:28" ht="16.5" customHeight="1">
      <c r="A253" s="140" t="s">
        <v>566</v>
      </c>
      <c r="B253" s="140">
        <v>32</v>
      </c>
      <c r="C253" s="140">
        <v>59</v>
      </c>
      <c r="D253" s="140">
        <v>59</v>
      </c>
      <c r="E253" s="140">
        <v>28</v>
      </c>
      <c r="F253" s="140">
        <v>59</v>
      </c>
      <c r="G253" s="140">
        <v>9</v>
      </c>
      <c r="H253" s="140">
        <v>25</v>
      </c>
      <c r="I253" s="140">
        <v>27</v>
      </c>
      <c r="J253" s="140">
        <v>38</v>
      </c>
      <c r="K253" s="140">
        <v>59</v>
      </c>
      <c r="L253" s="140">
        <v>70</v>
      </c>
      <c r="M253" s="140">
        <v>2.7</v>
      </c>
      <c r="N253" s="140">
        <v>6</v>
      </c>
      <c r="O253" s="141">
        <v>0.48</v>
      </c>
      <c r="P253" s="141">
        <v>0.21</v>
      </c>
      <c r="Q253" s="140">
        <v>1.7</v>
      </c>
      <c r="R253" s="140">
        <v>0.45</v>
      </c>
      <c r="S253" s="140">
        <v>0.11</v>
      </c>
      <c r="T253" s="140">
        <v>30</v>
      </c>
      <c r="U253" s="111"/>
      <c r="V253" s="111"/>
      <c r="W253" s="109"/>
      <c r="X253" s="109"/>
      <c r="Y253" s="109"/>
      <c r="Z253" s="112"/>
      <c r="AA253" s="110"/>
      <c r="AB253" s="110"/>
    </row>
    <row r="254" spans="1:28" ht="16.5" customHeight="1">
      <c r="A254" s="140" t="s">
        <v>565</v>
      </c>
      <c r="B254" s="140">
        <v>87</v>
      </c>
      <c r="C254" s="140">
        <v>55</v>
      </c>
      <c r="D254" s="140">
        <v>55</v>
      </c>
      <c r="E254" s="140">
        <v>21</v>
      </c>
      <c r="F254" s="140">
        <v>55</v>
      </c>
      <c r="G254" s="140">
        <v>5</v>
      </c>
      <c r="H254" s="140"/>
      <c r="I254" s="140">
        <v>33</v>
      </c>
      <c r="J254" s="140">
        <v>41</v>
      </c>
      <c r="K254" s="140">
        <v>65</v>
      </c>
      <c r="L254" s="140">
        <v>100</v>
      </c>
      <c r="M254" s="140">
        <v>1.9</v>
      </c>
      <c r="N254" s="140">
        <v>10</v>
      </c>
      <c r="O254" s="141">
        <v>0.49</v>
      </c>
      <c r="P254" s="141">
        <v>0.12</v>
      </c>
      <c r="Q254" s="140">
        <v>1.2</v>
      </c>
      <c r="R254" s="140"/>
      <c r="S254" s="140"/>
      <c r="T254" s="140"/>
      <c r="U254" s="111"/>
      <c r="V254" s="111"/>
      <c r="W254" s="109"/>
      <c r="X254" s="109"/>
      <c r="Y254" s="109"/>
      <c r="Z254" s="112"/>
      <c r="AA254" s="110"/>
      <c r="AB254" s="110"/>
    </row>
    <row r="255" spans="1:28" ht="16.5" customHeight="1">
      <c r="A255" s="140" t="s">
        <v>516</v>
      </c>
      <c r="B255" s="140">
        <v>89</v>
      </c>
      <c r="C255" s="140">
        <v>52</v>
      </c>
      <c r="D255" s="140">
        <v>52</v>
      </c>
      <c r="E255" s="140">
        <v>16</v>
      </c>
      <c r="F255" s="140">
        <v>51</v>
      </c>
      <c r="G255" s="140">
        <v>15</v>
      </c>
      <c r="H255" s="140"/>
      <c r="I255" s="140">
        <v>35</v>
      </c>
      <c r="J255" s="140">
        <v>40</v>
      </c>
      <c r="K255" s="140">
        <v>55</v>
      </c>
      <c r="L255" s="140">
        <v>92</v>
      </c>
      <c r="M255" s="140">
        <v>2.2</v>
      </c>
      <c r="N255" s="140">
        <v>8</v>
      </c>
      <c r="O255" s="141">
        <v>1.29</v>
      </c>
      <c r="P255" s="141">
        <v>0.3</v>
      </c>
      <c r="Q255" s="140">
        <v>1.1</v>
      </c>
      <c r="R255" s="140">
        <v>0.15</v>
      </c>
      <c r="S255" s="140">
        <v>0.24</v>
      </c>
      <c r="T255" s="140">
        <v>24</v>
      </c>
      <c r="U255" s="111"/>
      <c r="V255" s="111"/>
      <c r="W255" s="109"/>
      <c r="X255" s="109"/>
      <c r="Y255" s="109"/>
      <c r="Z255" s="112"/>
      <c r="AA255" s="110"/>
      <c r="AB255" s="110"/>
    </row>
    <row r="256" spans="1:28" ht="16.5" customHeight="1">
      <c r="A256" s="140" t="s">
        <v>571</v>
      </c>
      <c r="B256" s="140">
        <v>90</v>
      </c>
      <c r="C256" s="140">
        <v>77</v>
      </c>
      <c r="D256" s="140">
        <v>82</v>
      </c>
      <c r="E256" s="140">
        <v>52</v>
      </c>
      <c r="F256" s="140">
        <v>79</v>
      </c>
      <c r="G256" s="140">
        <v>13</v>
      </c>
      <c r="H256" s="140">
        <v>28</v>
      </c>
      <c r="I256" s="140">
        <v>38</v>
      </c>
      <c r="J256" s="140">
        <v>46</v>
      </c>
      <c r="K256" s="140">
        <v>62</v>
      </c>
      <c r="L256" s="140">
        <v>28</v>
      </c>
      <c r="M256" s="140">
        <v>2.6</v>
      </c>
      <c r="N256" s="140">
        <v>5</v>
      </c>
      <c r="O256" s="141">
        <v>0.55</v>
      </c>
      <c r="P256" s="141">
        <v>0.17</v>
      </c>
      <c r="Q256" s="140">
        <v>1.4</v>
      </c>
      <c r="R256" s="140">
        <v>0.02</v>
      </c>
      <c r="S256" s="140">
        <v>0.12</v>
      </c>
      <c r="T256" s="140">
        <v>38</v>
      </c>
      <c r="U256" s="111"/>
      <c r="V256" s="111"/>
      <c r="W256" s="109"/>
      <c r="X256" s="109"/>
      <c r="Y256" s="109"/>
      <c r="Z256" s="112"/>
      <c r="AA256" s="110"/>
      <c r="AB256" s="110"/>
    </row>
    <row r="257" spans="1:28" ht="16.5" customHeight="1">
      <c r="A257" s="140" t="s">
        <v>68</v>
      </c>
      <c r="B257" s="140">
        <v>91</v>
      </c>
      <c r="C257" s="140">
        <v>84</v>
      </c>
      <c r="D257" s="140">
        <v>92</v>
      </c>
      <c r="E257" s="140">
        <v>61</v>
      </c>
      <c r="F257" s="140">
        <v>87</v>
      </c>
      <c r="G257" s="140">
        <v>49</v>
      </c>
      <c r="H257" s="140">
        <v>35</v>
      </c>
      <c r="I257" s="140">
        <v>6</v>
      </c>
      <c r="J257" s="140">
        <v>10</v>
      </c>
      <c r="K257" s="140">
        <v>15</v>
      </c>
      <c r="L257" s="140">
        <v>23</v>
      </c>
      <c r="M257" s="140">
        <v>1.6</v>
      </c>
      <c r="N257" s="140">
        <v>7</v>
      </c>
      <c r="O257" s="141">
        <v>0.38</v>
      </c>
      <c r="P257" s="141">
        <v>0.71</v>
      </c>
      <c r="Q257" s="140">
        <v>2.3</v>
      </c>
      <c r="R257" s="140">
        <v>0.07</v>
      </c>
      <c r="S257" s="140">
        <v>0.46</v>
      </c>
      <c r="T257" s="140">
        <v>62</v>
      </c>
      <c r="U257" s="111"/>
      <c r="V257" s="111"/>
      <c r="W257" s="109"/>
      <c r="X257" s="109"/>
      <c r="Y257" s="109"/>
      <c r="Z257" s="112"/>
      <c r="AA257" s="110"/>
      <c r="AB257" s="110"/>
    </row>
    <row r="258" spans="1:28" ht="16.5" customHeight="1">
      <c r="A258" s="140" t="s">
        <v>69</v>
      </c>
      <c r="B258" s="140">
        <v>91</v>
      </c>
      <c r="C258" s="140">
        <v>87</v>
      </c>
      <c r="D258" s="140">
        <v>96</v>
      </c>
      <c r="E258" s="140">
        <v>64</v>
      </c>
      <c r="F258" s="140">
        <v>90</v>
      </c>
      <c r="G258" s="140">
        <v>54</v>
      </c>
      <c r="H258" s="140">
        <v>36</v>
      </c>
      <c r="I258" s="140">
        <v>3</v>
      </c>
      <c r="J258" s="140">
        <v>6</v>
      </c>
      <c r="K258" s="140">
        <v>9</v>
      </c>
      <c r="L258" s="140">
        <v>23</v>
      </c>
      <c r="M258" s="140">
        <v>1.2</v>
      </c>
      <c r="N258" s="140">
        <v>6</v>
      </c>
      <c r="O258" s="141">
        <v>0.28</v>
      </c>
      <c r="P258" s="141">
        <v>0.71</v>
      </c>
      <c r="Q258" s="140">
        <v>2.2</v>
      </c>
      <c r="R258" s="140">
        <v>0.08</v>
      </c>
      <c r="S258" s="140">
        <v>0.51</v>
      </c>
      <c r="T258" s="140">
        <v>61</v>
      </c>
      <c r="U258" s="111"/>
      <c r="V258" s="111"/>
      <c r="W258" s="109"/>
      <c r="X258" s="109"/>
      <c r="Y258" s="109"/>
      <c r="Z258" s="112"/>
      <c r="AA258" s="110"/>
      <c r="AB258" s="110"/>
    </row>
    <row r="259" spans="1:28" ht="16.5" customHeight="1">
      <c r="A259" s="140" t="s">
        <v>572</v>
      </c>
      <c r="B259" s="140">
        <v>90</v>
      </c>
      <c r="C259" s="140">
        <v>51</v>
      </c>
      <c r="D259" s="140">
        <v>51</v>
      </c>
      <c r="E259" s="140">
        <v>14</v>
      </c>
      <c r="F259" s="140">
        <v>50</v>
      </c>
      <c r="G259" s="140">
        <v>15</v>
      </c>
      <c r="H259" s="140"/>
      <c r="I259" s="140">
        <v>36</v>
      </c>
      <c r="J259" s="140">
        <v>46</v>
      </c>
      <c r="K259" s="140"/>
      <c r="L259" s="140"/>
      <c r="M259" s="140">
        <v>2</v>
      </c>
      <c r="N259" s="140">
        <v>6</v>
      </c>
      <c r="O259" s="141">
        <v>0.49</v>
      </c>
      <c r="P259" s="141">
        <v>0.18</v>
      </c>
      <c r="Q259" s="140">
        <v>1.7</v>
      </c>
      <c r="R259" s="140"/>
      <c r="S259" s="140">
        <v>0.07</v>
      </c>
      <c r="T259" s="140"/>
      <c r="U259" s="111"/>
      <c r="V259" s="111"/>
      <c r="W259" s="109"/>
      <c r="X259" s="109"/>
      <c r="Y259" s="109"/>
      <c r="Z259" s="112"/>
      <c r="AA259" s="110"/>
      <c r="AB259" s="110"/>
    </row>
    <row r="260" spans="1:28" ht="16.5" customHeight="1">
      <c r="A260" s="140" t="s">
        <v>567</v>
      </c>
      <c r="B260" s="140">
        <v>88</v>
      </c>
      <c r="C260" s="140">
        <v>42</v>
      </c>
      <c r="D260" s="140">
        <v>43</v>
      </c>
      <c r="E260" s="140">
        <v>0</v>
      </c>
      <c r="F260" s="140">
        <v>40</v>
      </c>
      <c r="G260" s="140">
        <v>5</v>
      </c>
      <c r="H260" s="140"/>
      <c r="I260" s="140">
        <v>44</v>
      </c>
      <c r="J260" s="140">
        <v>54</v>
      </c>
      <c r="K260" s="140">
        <v>70</v>
      </c>
      <c r="L260" s="140">
        <v>100</v>
      </c>
      <c r="M260" s="140">
        <v>1.4</v>
      </c>
      <c r="N260" s="140">
        <v>6</v>
      </c>
      <c r="O260" s="141">
        <v>1.59</v>
      </c>
      <c r="P260" s="141">
        <v>0.06</v>
      </c>
      <c r="Q260" s="140">
        <v>0.6</v>
      </c>
      <c r="R260" s="140"/>
      <c r="S260" s="140">
        <v>0.26</v>
      </c>
      <c r="T260" s="140"/>
      <c r="U260" s="111"/>
      <c r="V260" s="111"/>
      <c r="W260" s="109"/>
      <c r="X260" s="109"/>
      <c r="Y260" s="109"/>
      <c r="Z260" s="112"/>
      <c r="AA260" s="110"/>
      <c r="AB260" s="110"/>
    </row>
    <row r="261" spans="1:28" ht="16.5" customHeight="1">
      <c r="A261" s="140" t="s">
        <v>568</v>
      </c>
      <c r="B261" s="140">
        <v>88</v>
      </c>
      <c r="C261" s="140">
        <v>93</v>
      </c>
      <c r="D261" s="140">
        <v>104</v>
      </c>
      <c r="E261" s="140">
        <v>71</v>
      </c>
      <c r="F261" s="140">
        <v>97</v>
      </c>
      <c r="G261" s="140">
        <v>40</v>
      </c>
      <c r="H261" s="140">
        <v>28</v>
      </c>
      <c r="I261" s="140">
        <v>9</v>
      </c>
      <c r="J261" s="140">
        <v>11</v>
      </c>
      <c r="K261" s="140">
        <v>15</v>
      </c>
      <c r="L261" s="140">
        <v>100</v>
      </c>
      <c r="M261" s="140">
        <v>18.8</v>
      </c>
      <c r="N261" s="140">
        <v>5</v>
      </c>
      <c r="O261" s="141">
        <v>0.27</v>
      </c>
      <c r="P261" s="141">
        <v>0.64</v>
      </c>
      <c r="Q261" s="140">
        <v>2</v>
      </c>
      <c r="R261" s="140">
        <v>0.03</v>
      </c>
      <c r="S261" s="140">
        <v>0.34</v>
      </c>
      <c r="T261" s="140">
        <v>56</v>
      </c>
      <c r="U261" s="111"/>
      <c r="V261" s="111"/>
      <c r="W261" s="109"/>
      <c r="X261" s="109"/>
      <c r="Y261" s="109"/>
      <c r="Z261" s="112"/>
      <c r="AA261" s="110"/>
      <c r="AB261" s="110"/>
    </row>
    <row r="262" spans="1:28" ht="16.5" customHeight="1">
      <c r="A262" s="140" t="s">
        <v>569</v>
      </c>
      <c r="B262" s="140">
        <v>88</v>
      </c>
      <c r="C262" s="140">
        <v>93</v>
      </c>
      <c r="D262" s="140">
        <v>104</v>
      </c>
      <c r="E262" s="140">
        <v>71</v>
      </c>
      <c r="F262" s="140">
        <v>97</v>
      </c>
      <c r="G262" s="140">
        <v>40</v>
      </c>
      <c r="H262" s="140">
        <v>35</v>
      </c>
      <c r="I262" s="140">
        <v>9</v>
      </c>
      <c r="J262" s="140">
        <v>11</v>
      </c>
      <c r="K262" s="140">
        <v>15</v>
      </c>
      <c r="L262" s="140">
        <v>100</v>
      </c>
      <c r="M262" s="140">
        <v>18.8</v>
      </c>
      <c r="N262" s="140">
        <v>5</v>
      </c>
      <c r="O262" s="141">
        <v>0.27</v>
      </c>
      <c r="P262" s="141">
        <v>0.64</v>
      </c>
      <c r="Q262" s="140">
        <v>2</v>
      </c>
      <c r="R262" s="140">
        <v>0.03</v>
      </c>
      <c r="S262" s="140">
        <v>0.34</v>
      </c>
      <c r="T262" s="140">
        <v>56</v>
      </c>
      <c r="U262" s="111"/>
      <c r="V262" s="111"/>
      <c r="W262" s="109"/>
      <c r="X262" s="109"/>
      <c r="Y262" s="109"/>
      <c r="Z262" s="112"/>
      <c r="AA262" s="110"/>
      <c r="AB262" s="110"/>
    </row>
    <row r="263" spans="1:28" ht="16.5" customHeight="1">
      <c r="A263" s="140" t="s">
        <v>570</v>
      </c>
      <c r="B263" s="140">
        <v>88</v>
      </c>
      <c r="C263" s="140">
        <v>93</v>
      </c>
      <c r="D263" s="140">
        <v>104</v>
      </c>
      <c r="E263" s="140">
        <v>71</v>
      </c>
      <c r="F263" s="140">
        <v>97</v>
      </c>
      <c r="G263" s="140">
        <v>40</v>
      </c>
      <c r="H263" s="140">
        <v>48</v>
      </c>
      <c r="I263" s="140">
        <v>9</v>
      </c>
      <c r="J263" s="140">
        <v>11</v>
      </c>
      <c r="K263" s="140">
        <v>15</v>
      </c>
      <c r="L263" s="140">
        <v>100</v>
      </c>
      <c r="M263" s="140">
        <v>18.8</v>
      </c>
      <c r="N263" s="140">
        <v>5</v>
      </c>
      <c r="O263" s="141">
        <v>0.27</v>
      </c>
      <c r="P263" s="141">
        <v>0.64</v>
      </c>
      <c r="Q263" s="140">
        <v>2</v>
      </c>
      <c r="R263" s="140">
        <v>0.03</v>
      </c>
      <c r="S263" s="140">
        <v>0.34</v>
      </c>
      <c r="T263" s="140">
        <v>56</v>
      </c>
      <c r="U263" s="111"/>
      <c r="V263" s="111"/>
      <c r="W263" s="109"/>
      <c r="X263" s="109"/>
      <c r="Y263" s="109"/>
      <c r="Z263" s="112"/>
      <c r="AA263" s="110"/>
      <c r="AB263" s="110"/>
    </row>
    <row r="264" spans="1:28" ht="16.5" customHeight="1">
      <c r="A264" s="140" t="s">
        <v>573</v>
      </c>
      <c r="B264" s="140">
        <v>88</v>
      </c>
      <c r="C264" s="140">
        <v>75</v>
      </c>
      <c r="D264" s="140">
        <v>79</v>
      </c>
      <c r="E264" s="140">
        <v>50</v>
      </c>
      <c r="F264" s="140">
        <v>77</v>
      </c>
      <c r="G264" s="140">
        <v>13</v>
      </c>
      <c r="H264" s="140">
        <v>27</v>
      </c>
      <c r="I264" s="140">
        <v>10</v>
      </c>
      <c r="J264" s="140">
        <v>17</v>
      </c>
      <c r="K264" s="140">
        <v>21</v>
      </c>
      <c r="L264" s="140">
        <v>34</v>
      </c>
      <c r="M264" s="140">
        <v>2.1</v>
      </c>
      <c r="N264" s="140">
        <v>4</v>
      </c>
      <c r="O264" s="141">
        <v>0.04</v>
      </c>
      <c r="P264" s="141">
        <v>0.4</v>
      </c>
      <c r="Q264" s="140">
        <v>0.4</v>
      </c>
      <c r="R264" s="140"/>
      <c r="S264" s="140">
        <v>0.15</v>
      </c>
      <c r="T264" s="140">
        <v>47</v>
      </c>
      <c r="U264" s="111"/>
      <c r="V264" s="111"/>
      <c r="W264" s="109"/>
      <c r="X264" s="109"/>
      <c r="Y264" s="109"/>
      <c r="Z264" s="112"/>
      <c r="AA264" s="110"/>
      <c r="AB264" s="110"/>
    </row>
    <row r="265" spans="1:28" ht="16.5" customHeight="1">
      <c r="A265" s="140" t="s">
        <v>70</v>
      </c>
      <c r="B265" s="140">
        <v>18</v>
      </c>
      <c r="C265" s="140">
        <v>70</v>
      </c>
      <c r="D265" s="140">
        <v>73</v>
      </c>
      <c r="E265" s="140">
        <v>44</v>
      </c>
      <c r="F265" s="140">
        <v>71</v>
      </c>
      <c r="G265" s="140">
        <v>17</v>
      </c>
      <c r="H265" s="140"/>
      <c r="I265" s="140">
        <v>23</v>
      </c>
      <c r="J265" s="140">
        <v>29</v>
      </c>
      <c r="K265" s="140">
        <v>55</v>
      </c>
      <c r="L265" s="140">
        <v>41</v>
      </c>
      <c r="M265" s="140">
        <v>3.9</v>
      </c>
      <c r="N265" s="140">
        <v>9</v>
      </c>
      <c r="O265" s="141">
        <v>0.46</v>
      </c>
      <c r="P265" s="141">
        <v>0.36</v>
      </c>
      <c r="Q265" s="140">
        <v>2</v>
      </c>
      <c r="R265" s="140"/>
      <c r="S265" s="140">
        <v>0.11</v>
      </c>
      <c r="T265" s="140">
        <v>24</v>
      </c>
      <c r="U265" s="111"/>
      <c r="V265" s="111"/>
      <c r="W265" s="109"/>
      <c r="X265" s="109"/>
      <c r="Y265" s="109"/>
      <c r="Z265" s="112"/>
      <c r="AA265" s="110"/>
      <c r="AB265" s="110"/>
    </row>
    <row r="266" spans="1:28" ht="16.5" customHeight="1">
      <c r="A266" s="140" t="s">
        <v>71</v>
      </c>
      <c r="B266" s="140">
        <v>88</v>
      </c>
      <c r="C266" s="140">
        <v>57</v>
      </c>
      <c r="D266" s="140">
        <v>57</v>
      </c>
      <c r="E266" s="140">
        <v>25</v>
      </c>
      <c r="F266" s="140">
        <v>57</v>
      </c>
      <c r="G266" s="140">
        <v>9</v>
      </c>
      <c r="H266" s="140">
        <v>30</v>
      </c>
      <c r="I266" s="140">
        <v>36</v>
      </c>
      <c r="J266" s="140">
        <v>43</v>
      </c>
      <c r="K266" s="140">
        <v>67</v>
      </c>
      <c r="L266" s="140">
        <v>98</v>
      </c>
      <c r="M266" s="140">
        <v>1.8</v>
      </c>
      <c r="N266" s="140">
        <v>10</v>
      </c>
      <c r="O266" s="141">
        <v>0.5</v>
      </c>
      <c r="P266" s="141">
        <v>0.22</v>
      </c>
      <c r="Q266" s="140">
        <v>2.2</v>
      </c>
      <c r="R266" s="140">
        <v>0.8</v>
      </c>
      <c r="S266" s="140">
        <v>0.12</v>
      </c>
      <c r="T266" s="140">
        <v>26</v>
      </c>
      <c r="U266" s="111"/>
      <c r="V266" s="111"/>
      <c r="W266" s="109"/>
      <c r="X266" s="109"/>
      <c r="Y266" s="109"/>
      <c r="Z266" s="112"/>
      <c r="AA266" s="110"/>
      <c r="AB266" s="110"/>
    </row>
    <row r="267" spans="1:28" ht="16.5" customHeight="1">
      <c r="A267" s="140" t="s">
        <v>72</v>
      </c>
      <c r="B267" s="140">
        <v>31</v>
      </c>
      <c r="C267" s="140">
        <v>58</v>
      </c>
      <c r="D267" s="140">
        <v>58</v>
      </c>
      <c r="E267" s="140">
        <v>26</v>
      </c>
      <c r="F267" s="140">
        <v>58</v>
      </c>
      <c r="G267" s="140">
        <v>10</v>
      </c>
      <c r="H267" s="140">
        <v>28</v>
      </c>
      <c r="I267" s="140">
        <v>30</v>
      </c>
      <c r="J267" s="140">
        <v>42</v>
      </c>
      <c r="K267" s="140">
        <v>64</v>
      </c>
      <c r="L267" s="140">
        <v>61</v>
      </c>
      <c r="M267" s="140">
        <v>3.1</v>
      </c>
      <c r="N267" s="140">
        <v>10</v>
      </c>
      <c r="O267" s="141">
        <v>0.58</v>
      </c>
      <c r="P267" s="141">
        <v>0.27</v>
      </c>
      <c r="Q267" s="140">
        <v>2.4</v>
      </c>
      <c r="R267" s="140">
        <v>0.52</v>
      </c>
      <c r="S267" s="140">
        <v>0.14</v>
      </c>
      <c r="T267" s="140">
        <v>29</v>
      </c>
      <c r="U267" s="111"/>
      <c r="V267" s="111"/>
      <c r="W267" s="109"/>
      <c r="X267" s="109"/>
      <c r="Y267" s="109"/>
      <c r="Z267" s="112"/>
      <c r="AA267" s="110"/>
      <c r="AB267" s="110"/>
    </row>
    <row r="268" spans="1:28" ht="16.5" customHeight="1">
      <c r="A268" s="140" t="s">
        <v>577</v>
      </c>
      <c r="B268" s="140">
        <v>91</v>
      </c>
      <c r="C268" s="140">
        <v>36</v>
      </c>
      <c r="D268" s="140">
        <v>39</v>
      </c>
      <c r="E268" s="140">
        <v>0</v>
      </c>
      <c r="F268" s="140">
        <v>34</v>
      </c>
      <c r="G268" s="140">
        <v>1</v>
      </c>
      <c r="H268" s="140"/>
      <c r="I268" s="140">
        <v>49</v>
      </c>
      <c r="J268" s="140">
        <v>59</v>
      </c>
      <c r="K268" s="140">
        <v>86</v>
      </c>
      <c r="L268" s="140">
        <v>100</v>
      </c>
      <c r="M268" s="140">
        <v>0.7</v>
      </c>
      <c r="N268" s="140">
        <v>3</v>
      </c>
      <c r="O268" s="141">
        <v>0.9</v>
      </c>
      <c r="P268" s="141">
        <v>0.29</v>
      </c>
      <c r="Q268" s="140">
        <v>0.5</v>
      </c>
      <c r="R268" s="140"/>
      <c r="S268" s="140">
        <v>0.1</v>
      </c>
      <c r="T268" s="140"/>
      <c r="U268" s="111"/>
      <c r="V268" s="111"/>
      <c r="W268" s="109"/>
      <c r="X268" s="109"/>
      <c r="Y268" s="109"/>
      <c r="Z268" s="112"/>
      <c r="AA268" s="110"/>
      <c r="AB268" s="110"/>
    </row>
    <row r="269" spans="1:28" ht="16.5" customHeight="1">
      <c r="A269" s="140" t="s">
        <v>576</v>
      </c>
      <c r="B269" s="140">
        <v>90</v>
      </c>
      <c r="C269" s="140">
        <v>40</v>
      </c>
      <c r="D269" s="140">
        <v>42</v>
      </c>
      <c r="E269" s="140">
        <v>0</v>
      </c>
      <c r="F269" s="140">
        <v>38</v>
      </c>
      <c r="G269" s="140">
        <v>4</v>
      </c>
      <c r="H269" s="140">
        <v>65</v>
      </c>
      <c r="I269" s="140">
        <v>52</v>
      </c>
      <c r="J269" s="140">
        <v>63</v>
      </c>
      <c r="K269" s="140">
        <v>73</v>
      </c>
      <c r="L269" s="140">
        <v>90</v>
      </c>
      <c r="M269" s="140">
        <v>2.2</v>
      </c>
      <c r="N269" s="140">
        <v>3</v>
      </c>
      <c r="O269" s="141">
        <v>0</v>
      </c>
      <c r="P269" s="141">
        <v>0.11</v>
      </c>
      <c r="Q269" s="140">
        <v>0.2</v>
      </c>
      <c r="R269" s="140"/>
      <c r="S269" s="140">
        <v>0.19</v>
      </c>
      <c r="T269" s="140">
        <v>200</v>
      </c>
      <c r="U269" s="111"/>
      <c r="V269" s="111"/>
      <c r="W269" s="109"/>
      <c r="X269" s="109"/>
      <c r="Y269" s="109"/>
      <c r="Z269" s="112"/>
      <c r="AA269" s="110"/>
      <c r="AB269" s="110"/>
    </row>
    <row r="270" spans="1:28" ht="16.5" customHeight="1">
      <c r="A270" s="140" t="s">
        <v>574</v>
      </c>
      <c r="B270" s="140">
        <v>92</v>
      </c>
      <c r="C270" s="140">
        <v>65</v>
      </c>
      <c r="D270" s="140">
        <v>66</v>
      </c>
      <c r="E270" s="140">
        <v>37</v>
      </c>
      <c r="F270" s="140">
        <v>66</v>
      </c>
      <c r="G270" s="140">
        <v>38</v>
      </c>
      <c r="H270" s="140">
        <v>27</v>
      </c>
      <c r="I270" s="140">
        <v>20</v>
      </c>
      <c r="J270" s="140">
        <v>24</v>
      </c>
      <c r="K270" s="140">
        <v>36</v>
      </c>
      <c r="L270" s="140">
        <v>23</v>
      </c>
      <c r="M270" s="140">
        <v>2.5</v>
      </c>
      <c r="N270" s="140">
        <v>8</v>
      </c>
      <c r="O270" s="141">
        <v>0.44</v>
      </c>
      <c r="P270" s="141">
        <v>0.97</v>
      </c>
      <c r="Q270" s="140">
        <v>1.2</v>
      </c>
      <c r="R270" s="140">
        <v>0.15</v>
      </c>
      <c r="S270" s="140">
        <v>0.33</v>
      </c>
      <c r="T270" s="140">
        <v>55</v>
      </c>
      <c r="U270" s="111"/>
      <c r="V270" s="111"/>
      <c r="W270" s="109"/>
      <c r="X270" s="109"/>
      <c r="Y270" s="109"/>
      <c r="Z270" s="112"/>
      <c r="AA270" s="110"/>
      <c r="AB270" s="110"/>
    </row>
    <row r="271" spans="1:28" ht="16.5" customHeight="1">
      <c r="A271" s="140" t="s">
        <v>575</v>
      </c>
      <c r="B271" s="140">
        <v>91</v>
      </c>
      <c r="C271" s="140">
        <v>57</v>
      </c>
      <c r="D271" s="140">
        <v>57</v>
      </c>
      <c r="E271" s="140">
        <v>25</v>
      </c>
      <c r="F271" s="140">
        <v>57</v>
      </c>
      <c r="G271" s="140">
        <v>31</v>
      </c>
      <c r="H271" s="140">
        <v>35</v>
      </c>
      <c r="I271" s="140">
        <v>27</v>
      </c>
      <c r="J271" s="140">
        <v>32</v>
      </c>
      <c r="K271" s="140">
        <v>44</v>
      </c>
      <c r="L271" s="140">
        <v>37</v>
      </c>
      <c r="M271" s="140">
        <v>2.4</v>
      </c>
      <c r="N271" s="140">
        <v>7</v>
      </c>
      <c r="O271" s="141">
        <v>0.4</v>
      </c>
      <c r="P271" s="141">
        <v>1.03</v>
      </c>
      <c r="Q271" s="140">
        <v>1</v>
      </c>
      <c r="R271" s="140"/>
      <c r="S271" s="140">
        <v>0.3</v>
      </c>
      <c r="T271" s="140">
        <v>85</v>
      </c>
      <c r="U271" s="111"/>
      <c r="V271" s="111"/>
      <c r="W271" s="109"/>
      <c r="X271" s="109"/>
      <c r="Y271" s="109"/>
      <c r="Z271" s="112"/>
      <c r="AA271" s="110"/>
      <c r="AB271" s="110"/>
    </row>
    <row r="272" spans="1:28" ht="16.5" customHeight="1">
      <c r="A272" s="140" t="s">
        <v>578</v>
      </c>
      <c r="B272" s="140">
        <v>89</v>
      </c>
      <c r="C272" s="140">
        <v>83</v>
      </c>
      <c r="D272" s="140">
        <v>90</v>
      </c>
      <c r="E272" s="140">
        <v>60</v>
      </c>
      <c r="F272" s="140">
        <v>86</v>
      </c>
      <c r="G272" s="140">
        <v>2</v>
      </c>
      <c r="H272" s="140"/>
      <c r="I272" s="140">
        <v>5</v>
      </c>
      <c r="J272" s="140">
        <v>8</v>
      </c>
      <c r="K272" s="140">
        <v>34</v>
      </c>
      <c r="L272" s="140"/>
      <c r="M272" s="140">
        <v>0.8</v>
      </c>
      <c r="N272" s="140">
        <v>3</v>
      </c>
      <c r="O272" s="141">
        <v>0.03</v>
      </c>
      <c r="P272" s="141">
        <v>0.05</v>
      </c>
      <c r="Q272" s="140"/>
      <c r="R272" s="140"/>
      <c r="S272" s="140"/>
      <c r="T272" s="140"/>
      <c r="U272" s="111"/>
      <c r="V272" s="111"/>
      <c r="W272" s="109"/>
      <c r="X272" s="109"/>
      <c r="Y272" s="109"/>
      <c r="Z272" s="112"/>
      <c r="AA272" s="110"/>
      <c r="AB272" s="110"/>
    </row>
    <row r="273" spans="1:28" ht="16.5" customHeight="1">
      <c r="A273" s="140" t="s">
        <v>73</v>
      </c>
      <c r="B273" s="140">
        <v>26</v>
      </c>
      <c r="C273" s="140">
        <v>64</v>
      </c>
      <c r="D273" s="140">
        <v>65</v>
      </c>
      <c r="E273" s="140">
        <v>36</v>
      </c>
      <c r="F273" s="140">
        <v>65</v>
      </c>
      <c r="G273" s="140">
        <v>11</v>
      </c>
      <c r="H273" s="140">
        <v>20</v>
      </c>
      <c r="I273" s="140">
        <v>31</v>
      </c>
      <c r="J273" s="140">
        <v>36</v>
      </c>
      <c r="K273" s="140">
        <v>59</v>
      </c>
      <c r="L273" s="140">
        <v>41</v>
      </c>
      <c r="M273" s="140">
        <v>3.8</v>
      </c>
      <c r="N273" s="140">
        <v>7</v>
      </c>
      <c r="O273" s="141">
        <v>0.4</v>
      </c>
      <c r="P273" s="141">
        <v>0.28</v>
      </c>
      <c r="Q273" s="140">
        <v>1.9</v>
      </c>
      <c r="R273" s="140">
        <v>0.57</v>
      </c>
      <c r="S273" s="140">
        <v>0.15</v>
      </c>
      <c r="T273" s="140">
        <v>28</v>
      </c>
      <c r="U273" s="111"/>
      <c r="V273" s="111"/>
      <c r="W273" s="109"/>
      <c r="X273" s="109"/>
      <c r="Y273" s="109"/>
      <c r="Z273" s="112"/>
      <c r="AA273" s="110"/>
      <c r="AB273" s="110"/>
    </row>
    <row r="274" spans="1:28" ht="16.5" customHeight="1">
      <c r="A274" s="140" t="s">
        <v>74</v>
      </c>
      <c r="B274" s="140">
        <v>88</v>
      </c>
      <c r="C274" s="140">
        <v>59</v>
      </c>
      <c r="D274" s="140">
        <v>59</v>
      </c>
      <c r="E274" s="140">
        <v>28</v>
      </c>
      <c r="F274" s="140">
        <v>59</v>
      </c>
      <c r="G274" s="140">
        <v>11</v>
      </c>
      <c r="H274" s="140">
        <v>22</v>
      </c>
      <c r="I274" s="140">
        <v>32</v>
      </c>
      <c r="J274" s="140">
        <v>39</v>
      </c>
      <c r="K274" s="140">
        <v>63</v>
      </c>
      <c r="L274" s="140">
        <v>98</v>
      </c>
      <c r="M274" s="140">
        <v>2.7</v>
      </c>
      <c r="N274" s="140">
        <v>6</v>
      </c>
      <c r="O274" s="141">
        <v>0.58</v>
      </c>
      <c r="P274" s="141">
        <v>0.26</v>
      </c>
      <c r="Q274" s="140">
        <v>1.9</v>
      </c>
      <c r="R274" s="140">
        <v>0.51</v>
      </c>
      <c r="S274" s="140">
        <v>0.21</v>
      </c>
      <c r="T274" s="140">
        <v>30</v>
      </c>
      <c r="U274" s="111"/>
      <c r="V274" s="111"/>
      <c r="W274" s="109"/>
      <c r="X274" s="109"/>
      <c r="Y274" s="109"/>
      <c r="Z274" s="112"/>
      <c r="AA274" s="110"/>
      <c r="AB274" s="110"/>
    </row>
    <row r="275" spans="1:28" ht="16.5" customHeight="1">
      <c r="A275" s="140" t="s">
        <v>75</v>
      </c>
      <c r="B275" s="140">
        <v>88</v>
      </c>
      <c r="C275" s="140">
        <v>57</v>
      </c>
      <c r="D275" s="140">
        <v>57</v>
      </c>
      <c r="E275" s="140">
        <v>25</v>
      </c>
      <c r="F275" s="140">
        <v>57</v>
      </c>
      <c r="G275" s="140">
        <v>8</v>
      </c>
      <c r="H275" s="140">
        <v>30</v>
      </c>
      <c r="I275" s="140">
        <v>34</v>
      </c>
      <c r="J275" s="140">
        <v>40</v>
      </c>
      <c r="K275" s="140">
        <v>65</v>
      </c>
      <c r="L275" s="140">
        <v>98</v>
      </c>
      <c r="M275" s="140">
        <v>2.6</v>
      </c>
      <c r="N275" s="140">
        <v>5</v>
      </c>
      <c r="O275" s="141">
        <v>0.43</v>
      </c>
      <c r="P275" s="141">
        <v>0.2</v>
      </c>
      <c r="Q275" s="140">
        <v>1.8</v>
      </c>
      <c r="R275" s="140">
        <v>0.62</v>
      </c>
      <c r="S275" s="140">
        <v>0.13</v>
      </c>
      <c r="T275" s="140">
        <v>25</v>
      </c>
      <c r="U275" s="111"/>
      <c r="V275" s="111"/>
      <c r="W275" s="109"/>
      <c r="X275" s="109"/>
      <c r="Y275" s="109"/>
      <c r="Z275" s="112"/>
      <c r="AA275" s="110"/>
      <c r="AB275" s="110"/>
    </row>
    <row r="276" spans="1:28" ht="16.5" customHeight="1">
      <c r="A276" s="140" t="s">
        <v>579</v>
      </c>
      <c r="B276" s="140">
        <v>34</v>
      </c>
      <c r="C276" s="140">
        <v>59</v>
      </c>
      <c r="D276" s="140">
        <v>59</v>
      </c>
      <c r="E276" s="140">
        <v>28</v>
      </c>
      <c r="F276" s="140">
        <v>59</v>
      </c>
      <c r="G276" s="140">
        <v>10</v>
      </c>
      <c r="H276" s="140">
        <v>25</v>
      </c>
      <c r="I276" s="140">
        <v>34</v>
      </c>
      <c r="J276" s="140">
        <v>45</v>
      </c>
      <c r="K276" s="140">
        <v>70</v>
      </c>
      <c r="L276" s="140">
        <v>61</v>
      </c>
      <c r="M276" s="140">
        <v>3.4</v>
      </c>
      <c r="N276" s="140">
        <v>7</v>
      </c>
      <c r="O276" s="141">
        <v>0.5</v>
      </c>
      <c r="P276" s="141">
        <v>0.27</v>
      </c>
      <c r="Q276" s="140">
        <v>1.7</v>
      </c>
      <c r="R276" s="140"/>
      <c r="S276" s="140">
        <v>0.15</v>
      </c>
      <c r="T276" s="140"/>
      <c r="U276" s="111"/>
      <c r="V276" s="111"/>
      <c r="W276" s="109"/>
      <c r="X276" s="109"/>
      <c r="Y276" s="109"/>
      <c r="Z276" s="112"/>
      <c r="AA276" s="110"/>
      <c r="AB276" s="110"/>
    </row>
    <row r="277" spans="1:28" ht="16.5" customHeight="1">
      <c r="A277" s="140" t="s">
        <v>76</v>
      </c>
      <c r="B277" s="140">
        <v>92</v>
      </c>
      <c r="C277" s="140">
        <v>64</v>
      </c>
      <c r="D277" s="140">
        <v>65</v>
      </c>
      <c r="E277" s="140">
        <v>36</v>
      </c>
      <c r="F277" s="140">
        <v>65</v>
      </c>
      <c r="G277" s="140">
        <v>23</v>
      </c>
      <c r="H277" s="140"/>
      <c r="I277" s="140">
        <v>26</v>
      </c>
      <c r="J277" s="140">
        <v>50</v>
      </c>
      <c r="K277" s="140">
        <v>55</v>
      </c>
      <c r="L277" s="140">
        <v>34</v>
      </c>
      <c r="M277" s="140">
        <v>10.6</v>
      </c>
      <c r="N277" s="140">
        <v>6</v>
      </c>
      <c r="O277" s="141">
        <v>0.43</v>
      </c>
      <c r="P277" s="141">
        <v>0.59</v>
      </c>
      <c r="Q277" s="140">
        <v>3.6</v>
      </c>
      <c r="R277" s="140"/>
      <c r="S277" s="140"/>
      <c r="T277" s="140"/>
      <c r="U277" s="111"/>
      <c r="V277" s="111"/>
      <c r="W277" s="109"/>
      <c r="X277" s="109"/>
      <c r="Y277" s="109"/>
      <c r="Z277" s="112"/>
      <c r="AA277" s="110"/>
      <c r="AB277" s="110"/>
    </row>
    <row r="278" spans="1:28" ht="16.5" customHeight="1">
      <c r="A278" s="140" t="s">
        <v>582</v>
      </c>
      <c r="B278" s="140">
        <v>89</v>
      </c>
      <c r="C278" s="140">
        <v>85</v>
      </c>
      <c r="D278" s="140">
        <v>93</v>
      </c>
      <c r="E278" s="140">
        <v>62</v>
      </c>
      <c r="F278" s="140">
        <v>88</v>
      </c>
      <c r="G278" s="140">
        <v>14</v>
      </c>
      <c r="H278" s="140">
        <v>25</v>
      </c>
      <c r="I278" s="140">
        <v>4</v>
      </c>
      <c r="J278" s="140">
        <v>5</v>
      </c>
      <c r="K278" s="140">
        <v>22</v>
      </c>
      <c r="L278" s="140">
        <v>34</v>
      </c>
      <c r="M278" s="140">
        <v>2.4</v>
      </c>
      <c r="N278" s="140">
        <v>2</v>
      </c>
      <c r="O278" s="141">
        <v>0.07</v>
      </c>
      <c r="P278" s="141">
        <v>0.39</v>
      </c>
      <c r="Q278" s="140">
        <v>0.5</v>
      </c>
      <c r="R278" s="140"/>
      <c r="S278" s="140">
        <v>0.17</v>
      </c>
      <c r="T278" s="140">
        <v>37</v>
      </c>
      <c r="U278" s="111"/>
      <c r="V278" s="111"/>
      <c r="W278" s="109"/>
      <c r="X278" s="109"/>
      <c r="Y278" s="109"/>
      <c r="Z278" s="112"/>
      <c r="AA278" s="110"/>
      <c r="AB278" s="110"/>
    </row>
    <row r="279" spans="1:28" ht="16.5" customHeight="1">
      <c r="A279" s="140" t="s">
        <v>580</v>
      </c>
      <c r="B279" s="140">
        <v>90</v>
      </c>
      <c r="C279" s="140">
        <v>56</v>
      </c>
      <c r="D279" s="140">
        <v>56</v>
      </c>
      <c r="E279" s="140">
        <v>23</v>
      </c>
      <c r="F279" s="140">
        <v>56</v>
      </c>
      <c r="G279" s="140">
        <v>10</v>
      </c>
      <c r="H279" s="140"/>
      <c r="I279" s="140">
        <v>34</v>
      </c>
      <c r="J279" s="140">
        <v>41</v>
      </c>
      <c r="K279" s="140">
        <v>69</v>
      </c>
      <c r="L279" s="140">
        <v>98</v>
      </c>
      <c r="M279" s="140"/>
      <c r="N279" s="140"/>
      <c r="O279" s="141">
        <v>0.3</v>
      </c>
      <c r="P279" s="141">
        <v>0.26</v>
      </c>
      <c r="Q279" s="140">
        <v>2.3</v>
      </c>
      <c r="R279" s="140"/>
      <c r="S279" s="140"/>
      <c r="T279" s="140">
        <v>25</v>
      </c>
      <c r="U279" s="111"/>
      <c r="V279" s="111"/>
      <c r="W279" s="109"/>
      <c r="X279" s="109"/>
      <c r="Y279" s="109"/>
      <c r="Z279" s="112"/>
      <c r="AA279" s="110"/>
      <c r="AB279" s="110"/>
    </row>
    <row r="280" spans="1:28" ht="16.5" customHeight="1">
      <c r="A280" s="140" t="s">
        <v>581</v>
      </c>
      <c r="B280" s="140">
        <v>34</v>
      </c>
      <c r="C280" s="140">
        <v>58</v>
      </c>
      <c r="D280" s="140">
        <v>58</v>
      </c>
      <c r="E280" s="140">
        <v>26</v>
      </c>
      <c r="F280" s="140">
        <v>58</v>
      </c>
      <c r="G280" s="140">
        <v>14</v>
      </c>
      <c r="H280" s="140"/>
      <c r="I280" s="140">
        <v>30</v>
      </c>
      <c r="J280" s="140">
        <v>39</v>
      </c>
      <c r="K280" s="140">
        <v>56</v>
      </c>
      <c r="L280" s="140">
        <v>61</v>
      </c>
      <c r="M280" s="140">
        <v>3.6</v>
      </c>
      <c r="N280" s="140"/>
      <c r="O280" s="141">
        <v>0.58</v>
      </c>
      <c r="P280" s="141">
        <v>0.34</v>
      </c>
      <c r="Q280" s="140">
        <v>2.7</v>
      </c>
      <c r="R280" s="140"/>
      <c r="S280" s="140">
        <v>0.28</v>
      </c>
      <c r="T280" s="140">
        <v>36</v>
      </c>
      <c r="U280" s="111"/>
      <c r="V280" s="111"/>
      <c r="W280" s="109"/>
      <c r="X280" s="109"/>
      <c r="Y280" s="109"/>
      <c r="Z280" s="112"/>
      <c r="AA280" s="110"/>
      <c r="AB280" s="110"/>
    </row>
    <row r="281" spans="1:28" ht="16.5" customHeight="1">
      <c r="A281" s="140" t="s">
        <v>584</v>
      </c>
      <c r="B281" s="140">
        <v>9</v>
      </c>
      <c r="C281" s="140">
        <v>86</v>
      </c>
      <c r="D281" s="140">
        <v>95</v>
      </c>
      <c r="E281" s="140">
        <v>63</v>
      </c>
      <c r="F281" s="140">
        <v>89</v>
      </c>
      <c r="G281" s="140">
        <v>12</v>
      </c>
      <c r="H281" s="140">
        <v>0</v>
      </c>
      <c r="I281" s="140">
        <v>11</v>
      </c>
      <c r="J281" s="140">
        <v>34</v>
      </c>
      <c r="K281" s="140">
        <v>44</v>
      </c>
      <c r="L281" s="140">
        <v>40</v>
      </c>
      <c r="M281" s="140">
        <v>1.5</v>
      </c>
      <c r="N281" s="140">
        <v>8</v>
      </c>
      <c r="O281" s="141">
        <v>0.7</v>
      </c>
      <c r="P281" s="141">
        <v>0.34</v>
      </c>
      <c r="Q281" s="140">
        <v>3.2</v>
      </c>
      <c r="R281" s="140">
        <v>0.65</v>
      </c>
      <c r="S281" s="140">
        <v>0.43</v>
      </c>
      <c r="T281" s="140">
        <v>40</v>
      </c>
      <c r="U281" s="111"/>
      <c r="V281" s="111"/>
      <c r="W281" s="109"/>
      <c r="X281" s="109"/>
      <c r="Y281" s="109"/>
      <c r="Z281" s="112"/>
      <c r="AA281" s="110"/>
      <c r="AB281" s="110"/>
    </row>
    <row r="282" spans="1:28" ht="16.5" customHeight="1">
      <c r="A282" s="140" t="s">
        <v>583</v>
      </c>
      <c r="B282" s="140">
        <v>18</v>
      </c>
      <c r="C282" s="140">
        <v>69</v>
      </c>
      <c r="D282" s="140">
        <v>71</v>
      </c>
      <c r="E282" s="140">
        <v>43</v>
      </c>
      <c r="F282" s="140">
        <v>70</v>
      </c>
      <c r="G282" s="140">
        <v>16</v>
      </c>
      <c r="H282" s="140"/>
      <c r="I282" s="140">
        <v>10</v>
      </c>
      <c r="J282" s="140">
        <v>13</v>
      </c>
      <c r="K282" s="140"/>
      <c r="L282" s="140"/>
      <c r="M282" s="140">
        <v>2.6</v>
      </c>
      <c r="N282" s="140">
        <v>13</v>
      </c>
      <c r="O282" s="141">
        <v>3.2</v>
      </c>
      <c r="P282" s="141">
        <v>0.31</v>
      </c>
      <c r="Q282" s="140">
        <v>3</v>
      </c>
      <c r="R282" s="140">
        <v>1.8</v>
      </c>
      <c r="S282" s="140">
        <v>0.27</v>
      </c>
      <c r="T282" s="140"/>
      <c r="U282" s="111"/>
      <c r="V282" s="111"/>
      <c r="W282" s="109"/>
      <c r="X282" s="109"/>
      <c r="Y282" s="109"/>
      <c r="Z282" s="112"/>
      <c r="AA282" s="110"/>
      <c r="AB282" s="110"/>
    </row>
    <row r="283" spans="1:28" ht="16.5" customHeight="1">
      <c r="A283" s="140" t="s">
        <v>77</v>
      </c>
      <c r="B283" s="140">
        <v>99</v>
      </c>
      <c r="C283" s="140">
        <v>0</v>
      </c>
      <c r="D283" s="140">
        <v>0</v>
      </c>
      <c r="E283" s="140">
        <v>0</v>
      </c>
      <c r="F283" s="140">
        <v>0</v>
      </c>
      <c r="G283" s="140">
        <v>288</v>
      </c>
      <c r="H283" s="140">
        <v>0</v>
      </c>
      <c r="I283" s="140">
        <v>0</v>
      </c>
      <c r="J283" s="140">
        <v>0</v>
      </c>
      <c r="K283" s="140">
        <v>0</v>
      </c>
      <c r="L283" s="140">
        <v>0</v>
      </c>
      <c r="M283" s="140">
        <v>0</v>
      </c>
      <c r="N283" s="140">
        <v>0</v>
      </c>
      <c r="O283" s="141">
        <v>0</v>
      </c>
      <c r="P283" s="141">
        <v>0</v>
      </c>
      <c r="Q283" s="140">
        <v>0</v>
      </c>
      <c r="R283" s="140">
        <v>0</v>
      </c>
      <c r="S283" s="140">
        <v>0</v>
      </c>
      <c r="T283" s="140">
        <v>0</v>
      </c>
      <c r="U283" s="111"/>
      <c r="V283" s="111"/>
      <c r="W283" s="109"/>
      <c r="X283" s="109"/>
      <c r="Y283" s="109"/>
      <c r="Z283" s="112"/>
      <c r="AA283" s="110"/>
      <c r="AB283" s="110"/>
    </row>
    <row r="284" spans="1:28" ht="16.5" customHeight="1">
      <c r="A284" s="140" t="s">
        <v>585</v>
      </c>
      <c r="B284" s="140">
        <v>89</v>
      </c>
      <c r="C284" s="140">
        <v>58</v>
      </c>
      <c r="D284" s="140">
        <v>58</v>
      </c>
      <c r="E284" s="140">
        <v>26</v>
      </c>
      <c r="F284" s="140">
        <v>58</v>
      </c>
      <c r="G284" s="140">
        <v>18</v>
      </c>
      <c r="H284" s="140">
        <v>14</v>
      </c>
      <c r="I284" s="140">
        <v>30</v>
      </c>
      <c r="J284" s="140">
        <v>33</v>
      </c>
      <c r="K284" s="140">
        <v>48</v>
      </c>
      <c r="L284" s="140">
        <v>92</v>
      </c>
      <c r="M284" s="140">
        <v>1.8</v>
      </c>
      <c r="N284" s="140">
        <v>8</v>
      </c>
      <c r="O284" s="141">
        <v>1.25</v>
      </c>
      <c r="P284" s="141">
        <v>0.34</v>
      </c>
      <c r="Q284" s="140">
        <v>2.4</v>
      </c>
      <c r="R284" s="140"/>
      <c r="S284" s="140">
        <v>0.13</v>
      </c>
      <c r="T284" s="140"/>
      <c r="U284" s="111"/>
      <c r="V284" s="111"/>
      <c r="W284" s="109"/>
      <c r="X284" s="109"/>
      <c r="Y284" s="109"/>
      <c r="Z284" s="112"/>
      <c r="AA284" s="110"/>
      <c r="AB284" s="110"/>
    </row>
    <row r="285" spans="1:28" ht="16.5" customHeight="1">
      <c r="A285" s="140" t="s">
        <v>517</v>
      </c>
      <c r="B285" s="140">
        <v>89</v>
      </c>
      <c r="C285" s="140">
        <v>70</v>
      </c>
      <c r="D285" s="140">
        <v>73</v>
      </c>
      <c r="E285" s="140">
        <v>44</v>
      </c>
      <c r="F285" s="140">
        <v>71</v>
      </c>
      <c r="G285" s="140">
        <v>17</v>
      </c>
      <c r="H285" s="140">
        <v>28</v>
      </c>
      <c r="I285" s="140">
        <v>11</v>
      </c>
      <c r="J285" s="140">
        <v>13</v>
      </c>
      <c r="K285" s="140">
        <v>46</v>
      </c>
      <c r="L285" s="140">
        <v>4</v>
      </c>
      <c r="M285" s="140">
        <v>4.5</v>
      </c>
      <c r="N285" s="140">
        <v>7</v>
      </c>
      <c r="O285" s="141">
        <v>0.13</v>
      </c>
      <c r="P285" s="141">
        <v>1.29</v>
      </c>
      <c r="Q285" s="140">
        <v>1.4</v>
      </c>
      <c r="R285" s="140">
        <v>0.05</v>
      </c>
      <c r="S285" s="140">
        <v>0.24</v>
      </c>
      <c r="T285" s="140">
        <v>96</v>
      </c>
      <c r="U285" s="111"/>
      <c r="V285" s="111"/>
      <c r="W285" s="109"/>
      <c r="X285" s="109"/>
      <c r="Y285" s="109"/>
      <c r="Z285" s="112"/>
      <c r="AA285" s="110"/>
      <c r="AB285" s="110"/>
    </row>
    <row r="286" spans="1:28" ht="16.5" customHeight="1">
      <c r="A286" s="140" t="s">
        <v>586</v>
      </c>
      <c r="B286" s="140">
        <v>21</v>
      </c>
      <c r="C286" s="140">
        <v>71</v>
      </c>
      <c r="D286" s="140">
        <v>74</v>
      </c>
      <c r="E286" s="140">
        <v>46</v>
      </c>
      <c r="F286" s="140">
        <v>73</v>
      </c>
      <c r="G286" s="140">
        <v>20</v>
      </c>
      <c r="H286" s="140">
        <v>16</v>
      </c>
      <c r="I286" s="140">
        <v>18</v>
      </c>
      <c r="J286" s="140">
        <v>30</v>
      </c>
      <c r="K286" s="140">
        <v>50</v>
      </c>
      <c r="L286" s="140">
        <v>41</v>
      </c>
      <c r="M286" s="140">
        <v>4</v>
      </c>
      <c r="N286" s="140">
        <v>13</v>
      </c>
      <c r="O286" s="141">
        <v>0.35</v>
      </c>
      <c r="P286" s="141">
        <v>0.36</v>
      </c>
      <c r="Q286" s="140">
        <v>3.1</v>
      </c>
      <c r="R286" s="140">
        <v>0.67</v>
      </c>
      <c r="S286" s="140">
        <v>0.22</v>
      </c>
      <c r="T286" s="140"/>
      <c r="U286" s="111"/>
      <c r="V286" s="111"/>
      <c r="W286" s="109"/>
      <c r="X286" s="109"/>
      <c r="Y286" s="109"/>
      <c r="Z286" s="112"/>
      <c r="AA286" s="110"/>
      <c r="AB286" s="110"/>
    </row>
    <row r="287" spans="1:28" ht="16.5" customHeight="1">
      <c r="A287" s="140" t="s">
        <v>590</v>
      </c>
      <c r="B287" s="140">
        <v>89</v>
      </c>
      <c r="C287" s="140">
        <v>88</v>
      </c>
      <c r="D287" s="140">
        <v>98</v>
      </c>
      <c r="E287" s="140">
        <v>65</v>
      </c>
      <c r="F287" s="140">
        <v>91</v>
      </c>
      <c r="G287" s="140">
        <v>14</v>
      </c>
      <c r="H287" s="140">
        <v>23</v>
      </c>
      <c r="I287" s="140">
        <v>3</v>
      </c>
      <c r="J287" s="140">
        <v>4</v>
      </c>
      <c r="K287" s="140">
        <v>12</v>
      </c>
      <c r="L287" s="140">
        <v>0</v>
      </c>
      <c r="M287" s="140">
        <v>2.3</v>
      </c>
      <c r="N287" s="140">
        <v>2</v>
      </c>
      <c r="O287" s="141">
        <v>0.05</v>
      </c>
      <c r="P287" s="141">
        <v>0.43</v>
      </c>
      <c r="Q287" s="140">
        <v>0.4</v>
      </c>
      <c r="R287" s="140">
        <v>0.09</v>
      </c>
      <c r="S287" s="140">
        <v>0.15</v>
      </c>
      <c r="T287" s="140">
        <v>40</v>
      </c>
      <c r="U287" s="111"/>
      <c r="V287" s="111"/>
      <c r="W287" s="109"/>
      <c r="X287" s="109"/>
      <c r="Y287" s="109"/>
      <c r="Z287" s="112"/>
      <c r="AA287" s="110"/>
      <c r="AB287" s="110"/>
    </row>
    <row r="288" spans="1:28" ht="16.5" customHeight="1">
      <c r="A288" s="140" t="s">
        <v>78</v>
      </c>
      <c r="B288" s="140">
        <v>89</v>
      </c>
      <c r="C288" s="140">
        <v>88</v>
      </c>
      <c r="D288" s="140">
        <v>98</v>
      </c>
      <c r="E288" s="140">
        <v>65</v>
      </c>
      <c r="F288" s="140">
        <v>91</v>
      </c>
      <c r="G288" s="140">
        <v>14</v>
      </c>
      <c r="H288" s="140">
        <v>28</v>
      </c>
      <c r="I288" s="140">
        <v>3</v>
      </c>
      <c r="J288" s="140">
        <v>6</v>
      </c>
      <c r="K288" s="140">
        <v>14</v>
      </c>
      <c r="L288" s="140">
        <v>0</v>
      </c>
      <c r="M288" s="140">
        <v>2</v>
      </c>
      <c r="N288" s="140">
        <v>2</v>
      </c>
      <c r="O288" s="141">
        <v>0.05</v>
      </c>
      <c r="P288" s="141">
        <v>0.43</v>
      </c>
      <c r="Q288" s="140">
        <v>0.5</v>
      </c>
      <c r="R288" s="140"/>
      <c r="S288" s="140">
        <v>0.16</v>
      </c>
      <c r="T288" s="140">
        <v>45</v>
      </c>
      <c r="U288" s="111"/>
      <c r="V288" s="111"/>
      <c r="W288" s="109"/>
      <c r="X288" s="109"/>
      <c r="Y288" s="109"/>
      <c r="Z288" s="112"/>
      <c r="AA288" s="110"/>
      <c r="AB288" s="110"/>
    </row>
    <row r="289" spans="1:28" ht="16.5" customHeight="1">
      <c r="A289" s="140" t="s">
        <v>79</v>
      </c>
      <c r="B289" s="140">
        <v>89</v>
      </c>
      <c r="C289" s="140">
        <v>88</v>
      </c>
      <c r="D289" s="140">
        <v>98</v>
      </c>
      <c r="E289" s="140">
        <v>65</v>
      </c>
      <c r="F289" s="140">
        <v>91</v>
      </c>
      <c r="G289" s="140">
        <v>12</v>
      </c>
      <c r="H289" s="140">
        <v>23</v>
      </c>
      <c r="I289" s="140">
        <v>3</v>
      </c>
      <c r="J289" s="140">
        <v>4</v>
      </c>
      <c r="K289" s="140">
        <v>12</v>
      </c>
      <c r="L289" s="140">
        <v>0</v>
      </c>
      <c r="M289" s="140">
        <v>2</v>
      </c>
      <c r="N289" s="140">
        <v>2</v>
      </c>
      <c r="O289" s="141">
        <v>0.06</v>
      </c>
      <c r="P289" s="141">
        <v>0.4</v>
      </c>
      <c r="Q289" s="140">
        <v>0.4</v>
      </c>
      <c r="R289" s="140"/>
      <c r="S289" s="140">
        <v>0.15</v>
      </c>
      <c r="T289" s="140">
        <v>30</v>
      </c>
      <c r="U289" s="111"/>
      <c r="V289" s="111"/>
      <c r="W289" s="109"/>
      <c r="X289" s="109"/>
      <c r="Y289" s="109"/>
      <c r="Z289" s="112"/>
      <c r="AA289" s="110"/>
      <c r="AB289" s="110"/>
    </row>
    <row r="290" spans="1:28" ht="16.5" customHeight="1">
      <c r="A290" s="140" t="s">
        <v>80</v>
      </c>
      <c r="B290" s="140">
        <v>86</v>
      </c>
      <c r="C290" s="140">
        <v>88</v>
      </c>
      <c r="D290" s="140">
        <v>98</v>
      </c>
      <c r="E290" s="140">
        <v>65</v>
      </c>
      <c r="F290" s="140">
        <v>91</v>
      </c>
      <c r="G290" s="140">
        <v>12</v>
      </c>
      <c r="H290" s="140">
        <v>18</v>
      </c>
      <c r="I290" s="140">
        <v>3</v>
      </c>
      <c r="J290" s="140">
        <v>4</v>
      </c>
      <c r="K290" s="140">
        <v>13</v>
      </c>
      <c r="L290" s="140">
        <v>0</v>
      </c>
      <c r="M290" s="140">
        <v>2</v>
      </c>
      <c r="N290" s="140">
        <v>2</v>
      </c>
      <c r="O290" s="141">
        <v>0.04</v>
      </c>
      <c r="P290" s="141">
        <v>0.36</v>
      </c>
      <c r="Q290" s="140">
        <v>0.4</v>
      </c>
      <c r="R290" s="140"/>
      <c r="S290" s="140">
        <v>0.17</v>
      </c>
      <c r="T290" s="140">
        <v>45</v>
      </c>
      <c r="U290" s="111"/>
      <c r="V290" s="111"/>
      <c r="W290" s="109"/>
      <c r="X290" s="109"/>
      <c r="Y290" s="109"/>
      <c r="Z290" s="112"/>
      <c r="AA290" s="110"/>
      <c r="AB290" s="110"/>
    </row>
    <row r="291" spans="1:28" ht="16.5" customHeight="1">
      <c r="A291" s="140" t="s">
        <v>591</v>
      </c>
      <c r="B291" s="140">
        <v>85</v>
      </c>
      <c r="C291" s="140">
        <v>91</v>
      </c>
      <c r="D291" s="140">
        <v>102</v>
      </c>
      <c r="E291" s="140">
        <v>69</v>
      </c>
      <c r="F291" s="140">
        <v>95</v>
      </c>
      <c r="G291" s="140">
        <v>14</v>
      </c>
      <c r="H291" s="140">
        <v>29</v>
      </c>
      <c r="I291" s="140">
        <v>3</v>
      </c>
      <c r="J291" s="140">
        <v>4</v>
      </c>
      <c r="K291" s="140">
        <v>12</v>
      </c>
      <c r="L291" s="140">
        <v>0</v>
      </c>
      <c r="M291" s="140">
        <v>2.3</v>
      </c>
      <c r="N291" s="140">
        <v>2</v>
      </c>
      <c r="O291" s="141">
        <v>0.05</v>
      </c>
      <c r="P291" s="141">
        <v>0.39</v>
      </c>
      <c r="Q291" s="140">
        <v>0.4</v>
      </c>
      <c r="R291" s="140"/>
      <c r="S291" s="140">
        <v>0.15</v>
      </c>
      <c r="T291" s="140">
        <v>40</v>
      </c>
      <c r="U291" s="111"/>
      <c r="V291" s="111"/>
      <c r="W291" s="109"/>
      <c r="X291" s="109"/>
      <c r="Y291" s="109"/>
      <c r="Z291" s="112"/>
      <c r="AA291" s="110"/>
      <c r="AB291" s="110"/>
    </row>
    <row r="292" spans="1:28" ht="16.5" customHeight="1">
      <c r="A292" s="140" t="s">
        <v>587</v>
      </c>
      <c r="B292" s="140">
        <v>90</v>
      </c>
      <c r="C292" s="140">
        <v>57</v>
      </c>
      <c r="D292" s="140">
        <v>57</v>
      </c>
      <c r="E292" s="140">
        <v>25</v>
      </c>
      <c r="F292" s="140">
        <v>57</v>
      </c>
      <c r="G292" s="140">
        <v>9</v>
      </c>
      <c r="H292" s="140">
        <v>25</v>
      </c>
      <c r="I292" s="140">
        <v>29</v>
      </c>
      <c r="J292" s="140">
        <v>38</v>
      </c>
      <c r="K292" s="140">
        <v>66</v>
      </c>
      <c r="L292" s="140">
        <v>98</v>
      </c>
      <c r="M292" s="140">
        <v>2</v>
      </c>
      <c r="N292" s="140">
        <v>8</v>
      </c>
      <c r="O292" s="141">
        <v>0.21</v>
      </c>
      <c r="P292" s="141">
        <v>0.22</v>
      </c>
      <c r="Q292" s="140">
        <v>1.4</v>
      </c>
      <c r="R292" s="140">
        <v>0.5</v>
      </c>
      <c r="S292" s="140">
        <v>0.19</v>
      </c>
      <c r="T292" s="140">
        <v>23</v>
      </c>
      <c r="U292" s="111"/>
      <c r="V292" s="111"/>
      <c r="W292" s="109"/>
      <c r="X292" s="109"/>
      <c r="Y292" s="109"/>
      <c r="Z292" s="112"/>
      <c r="AA292" s="110"/>
      <c r="AB292" s="110"/>
    </row>
    <row r="293" spans="1:28" ht="16.5" customHeight="1">
      <c r="A293" s="140" t="s">
        <v>592</v>
      </c>
      <c r="B293" s="140">
        <v>89</v>
      </c>
      <c r="C293" s="140">
        <v>82</v>
      </c>
      <c r="D293" s="140">
        <v>89</v>
      </c>
      <c r="E293" s="140">
        <v>59</v>
      </c>
      <c r="F293" s="140">
        <v>85</v>
      </c>
      <c r="G293" s="140">
        <v>19</v>
      </c>
      <c r="H293" s="140">
        <v>22</v>
      </c>
      <c r="I293" s="140">
        <v>8</v>
      </c>
      <c r="J293" s="140">
        <v>12</v>
      </c>
      <c r="K293" s="140">
        <v>36</v>
      </c>
      <c r="L293" s="140">
        <v>2</v>
      </c>
      <c r="M293" s="140">
        <v>4.6</v>
      </c>
      <c r="N293" s="140">
        <v>5</v>
      </c>
      <c r="O293" s="141">
        <v>0.15</v>
      </c>
      <c r="P293" s="141">
        <v>1.02</v>
      </c>
      <c r="Q293" s="140">
        <v>1.4</v>
      </c>
      <c r="R293" s="140">
        <v>0.05</v>
      </c>
      <c r="S293" s="140">
        <v>0.2</v>
      </c>
      <c r="T293" s="140">
        <v>98</v>
      </c>
      <c r="U293" s="111"/>
      <c r="V293" s="111"/>
      <c r="W293" s="109"/>
      <c r="X293" s="109"/>
      <c r="Y293" s="109"/>
      <c r="Z293" s="112"/>
      <c r="AA293" s="110"/>
      <c r="AB293" s="110"/>
    </row>
    <row r="294" spans="1:28" ht="16.5" customHeight="1">
      <c r="A294" s="140" t="s">
        <v>593</v>
      </c>
      <c r="B294" s="140">
        <v>90</v>
      </c>
      <c r="C294" s="140">
        <v>75</v>
      </c>
      <c r="D294" s="140">
        <v>79</v>
      </c>
      <c r="E294" s="140">
        <v>50</v>
      </c>
      <c r="F294" s="140">
        <v>77</v>
      </c>
      <c r="G294" s="140">
        <v>17</v>
      </c>
      <c r="H294" s="140">
        <v>28</v>
      </c>
      <c r="I294" s="140">
        <v>9</v>
      </c>
      <c r="J294" s="140">
        <v>12</v>
      </c>
      <c r="K294" s="140">
        <v>37</v>
      </c>
      <c r="L294" s="140">
        <v>0</v>
      </c>
      <c r="M294" s="140">
        <v>4.4</v>
      </c>
      <c r="N294" s="140">
        <v>5</v>
      </c>
      <c r="O294" s="141">
        <v>0.12</v>
      </c>
      <c r="P294" s="141">
        <v>1</v>
      </c>
      <c r="Q294" s="140">
        <v>1.2</v>
      </c>
      <c r="R294" s="140">
        <v>0.07</v>
      </c>
      <c r="S294" s="140">
        <v>0.22</v>
      </c>
      <c r="T294" s="140">
        <v>90</v>
      </c>
      <c r="U294" s="111"/>
      <c r="V294" s="111"/>
      <c r="W294" s="109"/>
      <c r="X294" s="109"/>
      <c r="Y294" s="109"/>
      <c r="Z294" s="112"/>
      <c r="AA294" s="110"/>
      <c r="AB294" s="110"/>
    </row>
    <row r="295" spans="1:28" ht="16.5" customHeight="1">
      <c r="A295" s="140" t="s">
        <v>594</v>
      </c>
      <c r="B295" s="140">
        <v>89</v>
      </c>
      <c r="C295" s="140">
        <v>80</v>
      </c>
      <c r="D295" s="140">
        <v>86</v>
      </c>
      <c r="E295" s="140">
        <v>56</v>
      </c>
      <c r="F295" s="140">
        <v>83</v>
      </c>
      <c r="G295" s="140">
        <v>20</v>
      </c>
      <c r="H295" s="140">
        <v>25</v>
      </c>
      <c r="I295" s="140">
        <v>7</v>
      </c>
      <c r="J295" s="140">
        <v>7</v>
      </c>
      <c r="K295" s="140">
        <v>30</v>
      </c>
      <c r="L295" s="140">
        <v>0</v>
      </c>
      <c r="M295" s="140">
        <v>5.4</v>
      </c>
      <c r="N295" s="140">
        <v>5</v>
      </c>
      <c r="O295" s="141">
        <v>0.1</v>
      </c>
      <c r="P295" s="141">
        <v>0.95</v>
      </c>
      <c r="Q295" s="140">
        <v>1.1</v>
      </c>
      <c r="R295" s="140">
        <v>0.08</v>
      </c>
      <c r="S295" s="140">
        <v>0.2</v>
      </c>
      <c r="T295" s="140">
        <v>118</v>
      </c>
      <c r="U295" s="111"/>
      <c r="V295" s="111"/>
      <c r="W295" s="109"/>
      <c r="X295" s="109"/>
      <c r="Y295" s="109"/>
      <c r="Z295" s="112"/>
      <c r="AA295" s="110"/>
      <c r="AB295" s="110"/>
    </row>
    <row r="296" spans="1:28" ht="16.5" customHeight="1">
      <c r="A296" s="140" t="s">
        <v>588</v>
      </c>
      <c r="B296" s="140">
        <v>33</v>
      </c>
      <c r="C296" s="140">
        <v>59</v>
      </c>
      <c r="D296" s="140">
        <v>59</v>
      </c>
      <c r="E296" s="140">
        <v>28</v>
      </c>
      <c r="F296" s="140">
        <v>59</v>
      </c>
      <c r="G296" s="140">
        <v>12</v>
      </c>
      <c r="H296" s="140">
        <v>21</v>
      </c>
      <c r="I296" s="140">
        <v>28</v>
      </c>
      <c r="J296" s="140">
        <v>37</v>
      </c>
      <c r="K296" s="140">
        <v>62</v>
      </c>
      <c r="L296" s="140">
        <v>61</v>
      </c>
      <c r="M296" s="140">
        <v>3.2</v>
      </c>
      <c r="N296" s="140">
        <v>8</v>
      </c>
      <c r="O296" s="141">
        <v>0.4</v>
      </c>
      <c r="P296" s="141">
        <v>0.28</v>
      </c>
      <c r="Q296" s="140">
        <v>2.1</v>
      </c>
      <c r="R296" s="140">
        <v>0.5</v>
      </c>
      <c r="S296" s="140">
        <v>0.21</v>
      </c>
      <c r="T296" s="140">
        <v>27</v>
      </c>
      <c r="U296" s="111"/>
      <c r="V296" s="111"/>
      <c r="W296" s="109"/>
      <c r="X296" s="109"/>
      <c r="Y296" s="109"/>
      <c r="Z296" s="112"/>
      <c r="AA296" s="110"/>
      <c r="AB296" s="110"/>
    </row>
    <row r="297" spans="1:28" ht="16.5" customHeight="1">
      <c r="A297" s="140" t="s">
        <v>589</v>
      </c>
      <c r="B297" s="140">
        <v>91</v>
      </c>
      <c r="C297" s="140">
        <v>42</v>
      </c>
      <c r="D297" s="140">
        <v>43</v>
      </c>
      <c r="E297" s="140">
        <v>0</v>
      </c>
      <c r="F297" s="140">
        <v>40</v>
      </c>
      <c r="G297" s="140">
        <v>3</v>
      </c>
      <c r="H297" s="140">
        <v>60</v>
      </c>
      <c r="I297" s="140">
        <v>43</v>
      </c>
      <c r="J297" s="140">
        <v>58</v>
      </c>
      <c r="K297" s="140">
        <v>81</v>
      </c>
      <c r="L297" s="140">
        <v>98</v>
      </c>
      <c r="M297" s="140">
        <v>1.8</v>
      </c>
      <c r="N297" s="140">
        <v>8</v>
      </c>
      <c r="O297" s="141">
        <v>0.16</v>
      </c>
      <c r="P297" s="141">
        <v>0.05</v>
      </c>
      <c r="Q297" s="140">
        <v>1.3</v>
      </c>
      <c r="R297" s="140">
        <v>0.32</v>
      </c>
      <c r="S297" s="140">
        <v>0.17</v>
      </c>
      <c r="T297" s="140">
        <v>6</v>
      </c>
      <c r="U297" s="111"/>
      <c r="V297" s="111"/>
      <c r="W297" s="109"/>
      <c r="X297" s="109"/>
      <c r="Y297" s="109"/>
      <c r="Z297" s="112"/>
      <c r="AA297" s="110"/>
      <c r="AB297" s="110"/>
    </row>
    <row r="298" spans="1:28" ht="16.5" customHeight="1">
      <c r="A298" s="140" t="s">
        <v>81</v>
      </c>
      <c r="B298" s="140">
        <v>85</v>
      </c>
      <c r="C298" s="140">
        <v>50</v>
      </c>
      <c r="D298" s="140">
        <v>50</v>
      </c>
      <c r="E298" s="140">
        <v>12</v>
      </c>
      <c r="F298" s="140">
        <v>49</v>
      </c>
      <c r="G298" s="140">
        <v>9</v>
      </c>
      <c r="H298" s="140">
        <v>25</v>
      </c>
      <c r="I298" s="140">
        <v>40</v>
      </c>
      <c r="J298" s="140">
        <v>55</v>
      </c>
      <c r="K298" s="140">
        <v>76</v>
      </c>
      <c r="L298" s="140">
        <v>98</v>
      </c>
      <c r="M298" s="140">
        <v>1.5</v>
      </c>
      <c r="N298" s="140">
        <v>9</v>
      </c>
      <c r="O298" s="141">
        <v>0.15</v>
      </c>
      <c r="P298" s="141">
        <v>0.05</v>
      </c>
      <c r="Q298" s="140">
        <v>1.3</v>
      </c>
      <c r="R298" s="140">
        <v>0.3</v>
      </c>
      <c r="S298" s="140">
        <v>0.16</v>
      </c>
      <c r="T298" s="140">
        <v>6</v>
      </c>
      <c r="U298" s="111"/>
      <c r="V298" s="111"/>
      <c r="W298" s="109"/>
      <c r="X298" s="109"/>
      <c r="Y298" s="109"/>
      <c r="Z298" s="112"/>
      <c r="AA298" s="110"/>
      <c r="AB298" s="110"/>
    </row>
    <row r="299" spans="1:28" ht="16.5" customHeight="1">
      <c r="A299" s="140" t="s">
        <v>82</v>
      </c>
      <c r="B299" s="140">
        <v>37</v>
      </c>
      <c r="C299" s="140">
        <v>60</v>
      </c>
      <c r="D299" s="140">
        <v>60</v>
      </c>
      <c r="E299" s="140">
        <v>30</v>
      </c>
      <c r="F299" s="140">
        <v>60</v>
      </c>
      <c r="G299" s="140">
        <v>11</v>
      </c>
      <c r="H299" s="140">
        <v>25</v>
      </c>
      <c r="I299" s="140">
        <v>26</v>
      </c>
      <c r="J299" s="140">
        <v>28</v>
      </c>
      <c r="K299" s="140">
        <v>50</v>
      </c>
      <c r="L299" s="140">
        <v>41</v>
      </c>
      <c r="M299" s="140">
        <v>1.6</v>
      </c>
      <c r="N299" s="140">
        <v>7</v>
      </c>
      <c r="O299" s="141">
        <v>0.46</v>
      </c>
      <c r="P299" s="141">
        <v>0.32</v>
      </c>
      <c r="Q299" s="140">
        <v>2.4</v>
      </c>
      <c r="R299" s="140"/>
      <c r="S299" s="140"/>
      <c r="T299" s="140"/>
      <c r="U299" s="111"/>
      <c r="V299" s="111"/>
      <c r="W299" s="109"/>
      <c r="X299" s="109"/>
      <c r="Y299" s="109"/>
      <c r="Z299" s="112"/>
      <c r="AA299" s="110"/>
      <c r="AB299" s="110"/>
    </row>
    <row r="300" spans="1:28" ht="16.5" customHeight="1">
      <c r="A300" s="140" t="s">
        <v>83</v>
      </c>
      <c r="B300" s="140">
        <v>50</v>
      </c>
      <c r="C300" s="140">
        <v>55</v>
      </c>
      <c r="D300" s="140">
        <v>55</v>
      </c>
      <c r="E300" s="140">
        <v>21</v>
      </c>
      <c r="F300" s="140">
        <v>55</v>
      </c>
      <c r="G300" s="140">
        <v>10</v>
      </c>
      <c r="H300" s="140">
        <v>33</v>
      </c>
      <c r="I300" s="140">
        <v>33</v>
      </c>
      <c r="J300" s="140">
        <v>36</v>
      </c>
      <c r="K300" s="140">
        <v>65</v>
      </c>
      <c r="L300" s="140">
        <v>41</v>
      </c>
      <c r="M300" s="140">
        <v>1.6</v>
      </c>
      <c r="N300" s="140">
        <v>7</v>
      </c>
      <c r="O300" s="141">
        <v>0.39</v>
      </c>
      <c r="P300" s="141">
        <v>0.28</v>
      </c>
      <c r="Q300" s="140">
        <v>2.1</v>
      </c>
      <c r="R300" s="140"/>
      <c r="S300" s="140"/>
      <c r="T300" s="140"/>
      <c r="U300" s="111"/>
      <c r="V300" s="111"/>
      <c r="W300" s="109"/>
      <c r="X300" s="109"/>
      <c r="Y300" s="109"/>
      <c r="Z300" s="112"/>
      <c r="AA300" s="110"/>
      <c r="AB300" s="110"/>
    </row>
    <row r="301" spans="1:28" ht="16.5" customHeight="1">
      <c r="A301" s="140" t="s">
        <v>407</v>
      </c>
      <c r="B301" s="140">
        <v>92</v>
      </c>
      <c r="C301" s="140">
        <v>54</v>
      </c>
      <c r="D301" s="140">
        <v>54</v>
      </c>
      <c r="E301" s="140">
        <v>20</v>
      </c>
      <c r="F301" s="140">
        <v>54</v>
      </c>
      <c r="G301" s="140">
        <v>10</v>
      </c>
      <c r="H301" s="140">
        <v>33</v>
      </c>
      <c r="I301" s="140">
        <v>33</v>
      </c>
      <c r="J301" s="140">
        <v>36</v>
      </c>
      <c r="K301" s="140">
        <v>65</v>
      </c>
      <c r="L301" s="140">
        <v>98</v>
      </c>
      <c r="M301" s="140">
        <v>2.4</v>
      </c>
      <c r="N301" s="140">
        <v>7</v>
      </c>
      <c r="O301" s="141">
        <v>0.33</v>
      </c>
      <c r="P301" s="141">
        <v>0.2</v>
      </c>
      <c r="Q301" s="140">
        <v>2</v>
      </c>
      <c r="R301" s="140"/>
      <c r="S301" s="140"/>
      <c r="T301" s="140">
        <v>32</v>
      </c>
      <c r="U301" s="111"/>
      <c r="V301" s="111"/>
      <c r="W301" s="109"/>
      <c r="X301" s="109"/>
      <c r="Y301" s="109"/>
      <c r="Z301" s="112"/>
      <c r="AA301" s="110"/>
      <c r="AB301" s="110"/>
    </row>
    <row r="302" spans="1:28" ht="16.5" customHeight="1">
      <c r="A302" s="140" t="s">
        <v>84</v>
      </c>
      <c r="B302" s="140">
        <v>94</v>
      </c>
      <c r="C302" s="140">
        <v>82</v>
      </c>
      <c r="D302" s="140">
        <v>89</v>
      </c>
      <c r="E302" s="140">
        <v>59</v>
      </c>
      <c r="F302" s="140">
        <v>85</v>
      </c>
      <c r="G302" s="140">
        <v>14</v>
      </c>
      <c r="H302" s="140">
        <v>15</v>
      </c>
      <c r="I302" s="140">
        <v>0</v>
      </c>
      <c r="J302" s="140">
        <v>0</v>
      </c>
      <c r="K302" s="140">
        <v>0</v>
      </c>
      <c r="L302" s="140">
        <v>0</v>
      </c>
      <c r="M302" s="140">
        <v>1</v>
      </c>
      <c r="N302" s="140">
        <v>9</v>
      </c>
      <c r="O302" s="141">
        <v>1</v>
      </c>
      <c r="P302" s="141">
        <v>0.9</v>
      </c>
      <c r="Q302" s="140">
        <v>1.4</v>
      </c>
      <c r="R302" s="140">
        <v>1.2</v>
      </c>
      <c r="S302" s="140">
        <v>0.92</v>
      </c>
      <c r="T302" s="140">
        <v>10</v>
      </c>
      <c r="U302" s="111"/>
      <c r="V302" s="111"/>
      <c r="W302" s="109"/>
      <c r="X302" s="109"/>
      <c r="Y302" s="109"/>
      <c r="Z302" s="112"/>
      <c r="AA302" s="110"/>
      <c r="AB302" s="110"/>
    </row>
    <row r="303" spans="1:28" ht="13.5">
      <c r="A303" s="37"/>
      <c r="B303" s="37"/>
      <c r="C303" s="37"/>
      <c r="D303" s="37"/>
      <c r="E303" s="37"/>
      <c r="F303" s="37"/>
      <c r="G303" s="37"/>
      <c r="H303" s="37"/>
      <c r="I303" s="37"/>
      <c r="J303" s="37"/>
      <c r="K303" s="37"/>
      <c r="L303" s="37"/>
      <c r="M303" s="37"/>
      <c r="N303" s="37"/>
      <c r="O303" s="36"/>
      <c r="P303" s="36"/>
      <c r="Q303" s="37"/>
      <c r="R303" s="37"/>
      <c r="S303" s="37"/>
      <c r="T303" s="37"/>
      <c r="U303" s="111"/>
      <c r="V303" s="111"/>
      <c r="W303" s="109"/>
      <c r="X303" s="109"/>
      <c r="Y303" s="109"/>
      <c r="Z303" s="112"/>
      <c r="AA303" s="110"/>
      <c r="AB303" s="110"/>
    </row>
    <row r="304" spans="1:28" ht="13.5">
      <c r="A304" s="113" t="s">
        <v>85</v>
      </c>
      <c r="B304" s="114"/>
      <c r="C304" s="114"/>
      <c r="D304" s="114"/>
      <c r="E304" s="114"/>
      <c r="F304" s="114"/>
      <c r="G304" s="114"/>
      <c r="H304" s="114"/>
      <c r="I304" s="114"/>
      <c r="J304" s="114"/>
      <c r="K304" s="114"/>
      <c r="L304" s="114"/>
      <c r="M304" s="114"/>
      <c r="N304" s="114"/>
      <c r="O304" s="114"/>
      <c r="P304" s="114"/>
      <c r="Q304" s="114"/>
      <c r="R304" s="114"/>
      <c r="S304" s="114"/>
      <c r="T304" s="114"/>
      <c r="U304" s="111"/>
      <c r="V304" s="111"/>
      <c r="W304" s="109"/>
      <c r="X304" s="109"/>
      <c r="Y304" s="109"/>
      <c r="Z304" s="112"/>
      <c r="AA304" s="110"/>
      <c r="AB304" s="110"/>
    </row>
    <row r="305" spans="1:28" ht="13.5">
      <c r="A305" s="114"/>
      <c r="B305" s="114"/>
      <c r="C305" s="114"/>
      <c r="D305" s="114"/>
      <c r="E305" s="114"/>
      <c r="F305" s="114"/>
      <c r="G305" s="114"/>
      <c r="H305" s="114"/>
      <c r="I305" s="114"/>
      <c r="J305" s="114"/>
      <c r="K305" s="114"/>
      <c r="L305" s="114"/>
      <c r="M305" s="114"/>
      <c r="N305" s="114"/>
      <c r="O305" s="114"/>
      <c r="P305" s="114"/>
      <c r="Q305" s="114"/>
      <c r="R305" s="114"/>
      <c r="S305" s="114"/>
      <c r="T305" s="114"/>
      <c r="U305" s="111"/>
      <c r="V305" s="111"/>
      <c r="W305" s="109"/>
      <c r="X305" s="109"/>
      <c r="Y305" s="109"/>
      <c r="Z305" s="112"/>
      <c r="AA305" s="110"/>
      <c r="AB305" s="110"/>
    </row>
    <row r="306" spans="1:28" ht="13.5">
      <c r="A306" s="114"/>
      <c r="B306" s="10" t="s">
        <v>304</v>
      </c>
      <c r="C306" s="114"/>
      <c r="D306" s="114"/>
      <c r="E306" s="114"/>
      <c r="F306" s="114"/>
      <c r="G306" s="114"/>
      <c r="H306" s="114"/>
      <c r="I306" s="114"/>
      <c r="J306" s="114"/>
      <c r="K306" s="114"/>
      <c r="L306" s="114"/>
      <c r="M306" s="114"/>
      <c r="N306" s="114"/>
      <c r="O306" s="114"/>
      <c r="P306" s="114"/>
      <c r="Q306" s="114"/>
      <c r="R306" s="114"/>
      <c r="S306" s="114"/>
      <c r="T306" s="114"/>
      <c r="U306" s="111"/>
      <c r="V306" s="111"/>
      <c r="W306" s="109"/>
      <c r="X306" s="109"/>
      <c r="Y306" s="109"/>
      <c r="Z306" s="112"/>
      <c r="AA306" s="110"/>
      <c r="AB306" s="110"/>
    </row>
    <row r="307" spans="1:28" ht="13.5">
      <c r="A307" s="114"/>
      <c r="B307" s="10" t="s">
        <v>305</v>
      </c>
      <c r="C307" s="114"/>
      <c r="D307" s="114"/>
      <c r="E307" s="114"/>
      <c r="F307" s="114"/>
      <c r="G307" s="114"/>
      <c r="H307" s="114"/>
      <c r="I307" s="114"/>
      <c r="J307" s="114"/>
      <c r="K307" s="114"/>
      <c r="L307" s="114"/>
      <c r="M307" s="114"/>
      <c r="N307" s="114"/>
      <c r="O307" s="114"/>
      <c r="P307" s="114"/>
      <c r="Q307" s="114"/>
      <c r="R307" s="114"/>
      <c r="S307" s="114"/>
      <c r="T307" s="114"/>
      <c r="U307" s="111"/>
      <c r="V307" s="111"/>
      <c r="W307" s="109"/>
      <c r="X307" s="109"/>
      <c r="Y307" s="109"/>
      <c r="Z307" s="112"/>
      <c r="AA307" s="110"/>
      <c r="AB307" s="110"/>
    </row>
    <row r="308" spans="1:28" ht="13.5">
      <c r="A308" s="114"/>
      <c r="B308" s="5"/>
      <c r="C308" s="114"/>
      <c r="D308" s="114"/>
      <c r="E308" s="114"/>
      <c r="F308" s="114"/>
      <c r="G308" s="114"/>
      <c r="H308" s="114"/>
      <c r="I308" s="114"/>
      <c r="J308" s="114"/>
      <c r="K308" s="114"/>
      <c r="L308" s="114"/>
      <c r="M308" s="114"/>
      <c r="N308" s="114"/>
      <c r="O308" s="114"/>
      <c r="P308" s="114"/>
      <c r="Q308" s="114"/>
      <c r="R308" s="114"/>
      <c r="S308" s="114"/>
      <c r="T308" s="114"/>
      <c r="U308" s="111"/>
      <c r="V308" s="111"/>
      <c r="W308" s="109"/>
      <c r="X308" s="109"/>
      <c r="Y308" s="109"/>
      <c r="Z308" s="112"/>
      <c r="AA308" s="110"/>
      <c r="AB308" s="110"/>
    </row>
    <row r="309" spans="1:28" ht="13.5">
      <c r="A309" s="114"/>
      <c r="B309" s="10" t="s">
        <v>294</v>
      </c>
      <c r="C309" s="114"/>
      <c r="D309" s="114"/>
      <c r="E309" s="114"/>
      <c r="F309" s="114"/>
      <c r="G309" s="114"/>
      <c r="H309" s="114"/>
      <c r="I309" s="114"/>
      <c r="J309" s="114"/>
      <c r="K309" s="114"/>
      <c r="L309" s="114"/>
      <c r="M309" s="114"/>
      <c r="N309" s="114"/>
      <c r="O309" s="114"/>
      <c r="P309" s="114"/>
      <c r="Q309" s="114"/>
      <c r="R309" s="114"/>
      <c r="S309" s="114"/>
      <c r="T309" s="114"/>
      <c r="U309" s="111"/>
      <c r="V309" s="111"/>
      <c r="W309" s="109"/>
      <c r="X309" s="109"/>
      <c r="Y309" s="109"/>
      <c r="Z309" s="112"/>
      <c r="AA309" s="110"/>
      <c r="AB309" s="110"/>
    </row>
    <row r="310" spans="1:28" ht="13.5">
      <c r="A310" s="114"/>
      <c r="B310" s="10" t="s">
        <v>295</v>
      </c>
      <c r="C310" s="114"/>
      <c r="D310" s="114"/>
      <c r="E310" s="114"/>
      <c r="F310" s="114"/>
      <c r="G310" s="114"/>
      <c r="H310" s="114"/>
      <c r="I310" s="114"/>
      <c r="J310" s="114"/>
      <c r="K310" s="114"/>
      <c r="L310" s="114"/>
      <c r="M310" s="114"/>
      <c r="N310" s="114"/>
      <c r="O310" s="114"/>
      <c r="P310" s="114"/>
      <c r="Q310" s="114"/>
      <c r="R310" s="114"/>
      <c r="S310" s="114"/>
      <c r="T310" s="114"/>
      <c r="U310" s="111"/>
      <c r="V310" s="111"/>
      <c r="W310" s="109"/>
      <c r="X310" s="109"/>
      <c r="Y310" s="109"/>
      <c r="Z310" s="112"/>
      <c r="AA310" s="110"/>
      <c r="AB310" s="110"/>
    </row>
    <row r="311" spans="1:28" ht="12.75">
      <c r="A311" s="115"/>
      <c r="B311" s="115"/>
      <c r="C311" s="115"/>
      <c r="D311" s="115"/>
      <c r="E311" s="115"/>
      <c r="F311" s="115"/>
      <c r="G311" s="115"/>
      <c r="H311" s="115"/>
      <c r="I311" s="115"/>
      <c r="J311" s="115"/>
      <c r="K311" s="115"/>
      <c r="L311" s="115"/>
      <c r="M311" s="115"/>
      <c r="N311" s="115"/>
      <c r="O311" s="115"/>
      <c r="P311" s="115"/>
      <c r="Q311" s="115"/>
      <c r="R311" s="115"/>
      <c r="S311" s="115"/>
      <c r="T311" s="115"/>
      <c r="U311" s="109"/>
      <c r="V311" s="109"/>
      <c r="W311" s="109"/>
      <c r="X311" s="109"/>
      <c r="Y311" s="109"/>
      <c r="Z311" s="112"/>
      <c r="AA311" s="110"/>
      <c r="AB311" s="110"/>
    </row>
    <row r="312" spans="1:28" ht="12.75">
      <c r="A312" s="115"/>
      <c r="B312" s="115"/>
      <c r="C312" s="115"/>
      <c r="D312" s="115"/>
      <c r="E312" s="115"/>
      <c r="F312" s="115"/>
      <c r="G312" s="115"/>
      <c r="H312" s="115"/>
      <c r="I312" s="115"/>
      <c r="J312" s="115"/>
      <c r="K312" s="115"/>
      <c r="L312" s="115"/>
      <c r="M312" s="115"/>
      <c r="N312" s="115"/>
      <c r="O312" s="115"/>
      <c r="P312" s="115"/>
      <c r="Q312" s="115"/>
      <c r="R312" s="115"/>
      <c r="S312" s="115"/>
      <c r="T312" s="115"/>
      <c r="U312" s="109"/>
      <c r="V312" s="109"/>
      <c r="W312" s="109"/>
      <c r="X312" s="109"/>
      <c r="Y312" s="109"/>
      <c r="Z312" s="112"/>
      <c r="AA312" s="110"/>
      <c r="AB312" s="110"/>
    </row>
    <row r="313" spans="1:28" ht="12.75">
      <c r="A313" s="115"/>
      <c r="B313" s="115"/>
      <c r="C313" s="115"/>
      <c r="D313" s="115"/>
      <c r="E313" s="115"/>
      <c r="F313" s="115"/>
      <c r="G313" s="115"/>
      <c r="H313" s="115"/>
      <c r="I313" s="115"/>
      <c r="J313" s="115"/>
      <c r="K313" s="115"/>
      <c r="L313" s="115"/>
      <c r="M313" s="115"/>
      <c r="N313" s="115"/>
      <c r="O313" s="115"/>
      <c r="P313" s="115"/>
      <c r="Q313" s="115"/>
      <c r="R313" s="115"/>
      <c r="S313" s="115"/>
      <c r="T313" s="115"/>
      <c r="U313" s="109"/>
      <c r="V313" s="109"/>
      <c r="W313" s="109"/>
      <c r="X313" s="109"/>
      <c r="Y313" s="109"/>
      <c r="Z313" s="112"/>
      <c r="AA313" s="110"/>
      <c r="AB313" s="110"/>
    </row>
    <row r="314" spans="1:28" ht="12.75">
      <c r="A314" s="115"/>
      <c r="B314" s="115"/>
      <c r="C314" s="115"/>
      <c r="D314" s="115"/>
      <c r="E314" s="115"/>
      <c r="F314" s="115"/>
      <c r="G314" s="115"/>
      <c r="H314" s="115"/>
      <c r="I314" s="115"/>
      <c r="J314" s="115"/>
      <c r="K314" s="115"/>
      <c r="L314" s="115"/>
      <c r="M314" s="115"/>
      <c r="N314" s="115"/>
      <c r="O314" s="115"/>
      <c r="P314" s="115"/>
      <c r="Q314" s="115"/>
      <c r="R314" s="115"/>
      <c r="S314" s="115"/>
      <c r="T314" s="115"/>
      <c r="U314" s="109"/>
      <c r="V314" s="109"/>
      <c r="W314" s="109"/>
      <c r="X314" s="109"/>
      <c r="Y314" s="109"/>
      <c r="Z314" s="112"/>
      <c r="AA314" s="110"/>
      <c r="AB314" s="110"/>
    </row>
    <row r="315" spans="1:28" ht="12.75">
      <c r="A315" s="115"/>
      <c r="B315" s="115"/>
      <c r="C315" s="115"/>
      <c r="D315" s="115"/>
      <c r="E315" s="115"/>
      <c r="F315" s="115"/>
      <c r="G315" s="115"/>
      <c r="H315" s="115"/>
      <c r="I315" s="115"/>
      <c r="J315" s="115"/>
      <c r="K315" s="115"/>
      <c r="L315" s="115"/>
      <c r="M315" s="115"/>
      <c r="N315" s="115"/>
      <c r="O315" s="115"/>
      <c r="P315" s="115"/>
      <c r="Q315" s="115"/>
      <c r="R315" s="115"/>
      <c r="S315" s="115"/>
      <c r="T315" s="115"/>
      <c r="U315" s="109"/>
      <c r="V315" s="109"/>
      <c r="W315" s="109"/>
      <c r="X315" s="109"/>
      <c r="Y315" s="109"/>
      <c r="Z315" s="112"/>
      <c r="AA315" s="110"/>
      <c r="AB315" s="110"/>
    </row>
    <row r="316" spans="1:28" ht="12.75">
      <c r="A316" s="115"/>
      <c r="B316" s="115"/>
      <c r="C316" s="115"/>
      <c r="D316" s="115"/>
      <c r="E316" s="115"/>
      <c r="F316" s="115"/>
      <c r="G316" s="115"/>
      <c r="H316" s="115"/>
      <c r="I316" s="115"/>
      <c r="J316" s="115"/>
      <c r="K316" s="115"/>
      <c r="L316" s="115"/>
      <c r="M316" s="115"/>
      <c r="N316" s="115"/>
      <c r="O316" s="115"/>
      <c r="P316" s="115"/>
      <c r="Q316" s="115"/>
      <c r="R316" s="115"/>
      <c r="S316" s="115"/>
      <c r="T316" s="115"/>
      <c r="U316" s="109"/>
      <c r="V316" s="109"/>
      <c r="W316" s="109"/>
      <c r="X316" s="109"/>
      <c r="Y316" s="109"/>
      <c r="Z316" s="112"/>
      <c r="AA316" s="110"/>
      <c r="AB316" s="110"/>
    </row>
    <row r="317" spans="1:28" ht="12.75">
      <c r="A317" s="115"/>
      <c r="B317" s="115"/>
      <c r="C317" s="115"/>
      <c r="D317" s="115"/>
      <c r="E317" s="115"/>
      <c r="F317" s="115"/>
      <c r="G317" s="115"/>
      <c r="H317" s="115"/>
      <c r="I317" s="115"/>
      <c r="J317" s="115"/>
      <c r="K317" s="115"/>
      <c r="L317" s="115"/>
      <c r="M317" s="115"/>
      <c r="N317" s="115"/>
      <c r="O317" s="115"/>
      <c r="P317" s="115"/>
      <c r="Q317" s="115"/>
      <c r="R317" s="115"/>
      <c r="S317" s="115"/>
      <c r="T317" s="115"/>
      <c r="U317" s="109"/>
      <c r="V317" s="109"/>
      <c r="W317" s="109"/>
      <c r="X317" s="109"/>
      <c r="Y317" s="109"/>
      <c r="Z317" s="112"/>
      <c r="AA317" s="110"/>
      <c r="AB317" s="110"/>
    </row>
    <row r="318" spans="1:28" ht="12.75">
      <c r="A318" s="115"/>
      <c r="B318" s="115"/>
      <c r="C318" s="115"/>
      <c r="D318" s="115"/>
      <c r="E318" s="115"/>
      <c r="F318" s="115"/>
      <c r="G318" s="115"/>
      <c r="H318" s="115"/>
      <c r="I318" s="115"/>
      <c r="J318" s="115"/>
      <c r="K318" s="115"/>
      <c r="L318" s="115"/>
      <c r="M318" s="115"/>
      <c r="N318" s="115"/>
      <c r="O318" s="115"/>
      <c r="P318" s="115"/>
      <c r="Q318" s="115"/>
      <c r="R318" s="115"/>
      <c r="S318" s="115"/>
      <c r="T318" s="115"/>
      <c r="U318" s="109"/>
      <c r="V318" s="109"/>
      <c r="W318" s="109"/>
      <c r="X318" s="109"/>
      <c r="Y318" s="109"/>
      <c r="Z318" s="112"/>
      <c r="AA318" s="110"/>
      <c r="AB318" s="110"/>
    </row>
    <row r="319" spans="1:28" ht="12.75">
      <c r="A319" s="115"/>
      <c r="B319" s="115"/>
      <c r="C319" s="115"/>
      <c r="D319" s="115"/>
      <c r="E319" s="115"/>
      <c r="F319" s="115"/>
      <c r="G319" s="115"/>
      <c r="H319" s="115"/>
      <c r="I319" s="115"/>
      <c r="J319" s="115"/>
      <c r="K319" s="115"/>
      <c r="L319" s="115"/>
      <c r="M319" s="115"/>
      <c r="N319" s="115"/>
      <c r="O319" s="115"/>
      <c r="P319" s="115"/>
      <c r="Q319" s="115"/>
      <c r="R319" s="115"/>
      <c r="S319" s="115"/>
      <c r="T319" s="115"/>
      <c r="U319" s="109"/>
      <c r="V319" s="109"/>
      <c r="W319" s="109"/>
      <c r="X319" s="109"/>
      <c r="Y319" s="109"/>
      <c r="Z319" s="112"/>
      <c r="AA319" s="110"/>
      <c r="AB319" s="110"/>
    </row>
    <row r="320" spans="1:28" ht="12.75">
      <c r="A320" s="115"/>
      <c r="B320" s="115"/>
      <c r="C320" s="115"/>
      <c r="D320" s="115"/>
      <c r="E320" s="115"/>
      <c r="F320" s="115"/>
      <c r="G320" s="115"/>
      <c r="H320" s="115"/>
      <c r="I320" s="115"/>
      <c r="J320" s="115"/>
      <c r="K320" s="115"/>
      <c r="L320" s="115"/>
      <c r="M320" s="115"/>
      <c r="N320" s="115"/>
      <c r="O320" s="115"/>
      <c r="P320" s="115"/>
      <c r="Q320" s="115"/>
      <c r="R320" s="115"/>
      <c r="S320" s="115"/>
      <c r="T320" s="115"/>
      <c r="U320" s="109"/>
      <c r="V320" s="109"/>
      <c r="W320" s="109"/>
      <c r="X320" s="109"/>
      <c r="Y320" s="109"/>
      <c r="Z320" s="112"/>
      <c r="AA320" s="110"/>
      <c r="AB320" s="110"/>
    </row>
    <row r="321" spans="1:28" ht="12.75">
      <c r="A321" s="116"/>
      <c r="B321" s="116"/>
      <c r="C321" s="116"/>
      <c r="D321" s="116"/>
      <c r="E321" s="116"/>
      <c r="F321" s="116"/>
      <c r="G321" s="116"/>
      <c r="H321" s="116"/>
      <c r="I321" s="116"/>
      <c r="J321" s="116"/>
      <c r="K321" s="116"/>
      <c r="L321" s="116"/>
      <c r="M321" s="116"/>
      <c r="N321" s="116"/>
      <c r="O321" s="116"/>
      <c r="P321" s="116"/>
      <c r="Q321" s="116"/>
      <c r="R321" s="116"/>
      <c r="S321" s="116"/>
      <c r="T321" s="116"/>
      <c r="U321" s="117"/>
      <c r="V321" s="117"/>
      <c r="W321" s="117"/>
      <c r="X321" s="117"/>
      <c r="Y321" s="117"/>
      <c r="Z321" s="110"/>
      <c r="AA321" s="110"/>
      <c r="AB321" s="110"/>
    </row>
  </sheetData>
  <sheetProtection/>
  <autoFilter ref="A11:T295"/>
  <mergeCells count="6">
    <mergeCell ref="D10:F10"/>
    <mergeCell ref="A6:T6"/>
    <mergeCell ref="A7:T7"/>
    <mergeCell ref="B8:F8"/>
    <mergeCell ref="I8:L8"/>
    <mergeCell ref="G8:H8"/>
  </mergeCells>
  <hyperlinks>
    <hyperlink ref="M4" r:id="rId1" display="boers010@umn.edu"/>
  </hyperlinks>
  <printOptions/>
  <pageMargins left="0.25" right="0.25" top="0.5" bottom="0.5" header="0.5" footer="0.5"/>
  <pageSetup horizontalDpi="600" verticalDpi="600" orientation="landscape"/>
  <drawing r:id="rId2"/>
</worksheet>
</file>

<file path=xl/worksheets/sheet6.xml><?xml version="1.0" encoding="utf-8"?>
<worksheet xmlns="http://schemas.openxmlformats.org/spreadsheetml/2006/main" xmlns:r="http://schemas.openxmlformats.org/officeDocument/2006/relationships">
  <sheetPr>
    <tabColor indexed="16"/>
  </sheetPr>
  <dimension ref="A1:AD585"/>
  <sheetViews>
    <sheetView showRowColHeaders="0" zoomScalePageLayoutView="0" workbookViewId="0" topLeftCell="A1">
      <pane ySplit="9" topLeftCell="A320" activePane="bottomLeft" state="frozen"/>
      <selection pane="topLeft" activeCell="A1" sqref="A1"/>
      <selection pane="bottomLeft" activeCell="J10" sqref="J10"/>
    </sheetView>
  </sheetViews>
  <sheetFormatPr defaultColWidth="8.8515625" defaultRowHeight="12.75"/>
  <cols>
    <col min="1" max="1" width="17.140625" style="0" customWidth="1"/>
    <col min="2" max="2" width="9.421875" style="0" customWidth="1"/>
    <col min="3" max="3" width="9.00390625" style="0" customWidth="1"/>
    <col min="4" max="11" width="7.28125" style="0" customWidth="1"/>
    <col min="12" max="15" width="9.7109375" style="0" customWidth="1"/>
  </cols>
  <sheetData>
    <row r="1" spans="1:30" ht="18" customHeight="1">
      <c r="A1" s="2"/>
      <c r="B1" s="2"/>
      <c r="C1" s="2"/>
      <c r="D1" s="2"/>
      <c r="E1" s="2"/>
      <c r="F1" s="2"/>
      <c r="G1" s="2"/>
      <c r="H1" s="2"/>
      <c r="I1" s="2"/>
      <c r="J1" s="2"/>
      <c r="K1" s="2"/>
      <c r="L1" s="6" t="s">
        <v>290</v>
      </c>
      <c r="M1" s="6"/>
      <c r="N1" s="2"/>
      <c r="O1" s="2"/>
      <c r="P1" s="2"/>
      <c r="Q1" s="2"/>
      <c r="R1" s="2"/>
      <c r="S1" s="2"/>
      <c r="T1" s="2"/>
      <c r="U1" s="2"/>
      <c r="V1" s="2"/>
      <c r="W1" s="2"/>
      <c r="X1" s="2"/>
      <c r="Y1" s="2"/>
      <c r="Z1" s="2"/>
      <c r="AA1" s="2"/>
      <c r="AB1" s="2"/>
      <c r="AC1" s="2"/>
      <c r="AD1" s="2"/>
    </row>
    <row r="2" spans="1:30" ht="18" customHeight="1">
      <c r="A2" s="2"/>
      <c r="B2" s="2"/>
      <c r="C2" s="2"/>
      <c r="D2" s="2"/>
      <c r="E2" s="2"/>
      <c r="F2" s="2"/>
      <c r="G2" s="2"/>
      <c r="H2" s="2"/>
      <c r="I2" s="2"/>
      <c r="J2" s="2"/>
      <c r="K2" s="2"/>
      <c r="L2" s="7" t="s">
        <v>291</v>
      </c>
      <c r="M2" s="7"/>
      <c r="N2" s="2"/>
      <c r="O2" s="2"/>
      <c r="P2" s="2"/>
      <c r="Q2" s="2"/>
      <c r="R2" s="2"/>
      <c r="S2" s="2"/>
      <c r="T2" s="2"/>
      <c r="U2" s="2"/>
      <c r="V2" s="2"/>
      <c r="W2" s="2"/>
      <c r="X2" s="2"/>
      <c r="Y2" s="2"/>
      <c r="Z2" s="2"/>
      <c r="AA2" s="2"/>
      <c r="AB2" s="2"/>
      <c r="AC2" s="2"/>
      <c r="AD2" s="2"/>
    </row>
    <row r="3" spans="1:30" ht="18" customHeight="1">
      <c r="A3" s="2"/>
      <c r="B3" s="2"/>
      <c r="C3" s="2"/>
      <c r="D3" s="2"/>
      <c r="E3" s="2"/>
      <c r="F3" s="2"/>
      <c r="G3" s="2"/>
      <c r="H3" s="2"/>
      <c r="I3" s="2"/>
      <c r="J3" s="2"/>
      <c r="K3" s="2"/>
      <c r="L3" s="7" t="s">
        <v>292</v>
      </c>
      <c r="M3" s="7"/>
      <c r="N3" s="2"/>
      <c r="O3" s="2"/>
      <c r="P3" s="2"/>
      <c r="Q3" s="2"/>
      <c r="R3" s="2"/>
      <c r="S3" s="2"/>
      <c r="T3" s="2"/>
      <c r="U3" s="2"/>
      <c r="V3" s="2"/>
      <c r="W3" s="2"/>
      <c r="X3" s="2"/>
      <c r="Y3" s="2"/>
      <c r="Z3" s="2"/>
      <c r="AA3" s="2"/>
      <c r="AB3" s="2"/>
      <c r="AC3" s="2"/>
      <c r="AD3" s="2"/>
    </row>
    <row r="4" spans="1:30" ht="18" customHeight="1">
      <c r="A4" s="2"/>
      <c r="B4" s="2"/>
      <c r="C4" s="2"/>
      <c r="D4" s="2"/>
      <c r="E4" s="2"/>
      <c r="F4" s="2"/>
      <c r="G4" s="2"/>
      <c r="H4" s="2"/>
      <c r="I4" s="2"/>
      <c r="J4" s="2"/>
      <c r="K4" s="2"/>
      <c r="L4" s="8" t="s">
        <v>293</v>
      </c>
      <c r="M4" s="8"/>
      <c r="N4" s="2"/>
      <c r="O4" s="2"/>
      <c r="P4" s="2"/>
      <c r="Q4" s="2"/>
      <c r="R4" s="2"/>
      <c r="S4" s="2"/>
      <c r="T4" s="2"/>
      <c r="U4" s="2"/>
      <c r="V4" s="2"/>
      <c r="W4" s="2"/>
      <c r="X4" s="2"/>
      <c r="Y4" s="2"/>
      <c r="Z4" s="2"/>
      <c r="AA4" s="2"/>
      <c r="AB4" s="2"/>
      <c r="AC4" s="2"/>
      <c r="AD4" s="2"/>
    </row>
    <row r="5" spans="1:30" ht="18"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19.5">
      <c r="A7" s="5"/>
      <c r="B7" s="490" t="s">
        <v>317</v>
      </c>
      <c r="C7" s="490"/>
      <c r="D7" s="490"/>
      <c r="E7" s="490"/>
      <c r="F7" s="490"/>
      <c r="G7" s="490"/>
      <c r="H7" s="490"/>
      <c r="I7" s="490"/>
      <c r="J7" s="490"/>
      <c r="K7" s="490"/>
      <c r="L7" s="490"/>
      <c r="M7" s="490"/>
      <c r="N7" s="490"/>
      <c r="O7" s="490"/>
      <c r="P7" s="5"/>
      <c r="Q7" s="5"/>
      <c r="R7" s="5"/>
      <c r="S7" s="5"/>
      <c r="T7" s="5"/>
      <c r="U7" s="5"/>
      <c r="V7" s="2"/>
      <c r="W7" s="2"/>
      <c r="X7" s="2"/>
      <c r="Y7" s="2"/>
      <c r="Z7" s="2"/>
      <c r="AA7" s="2"/>
      <c r="AB7" s="2"/>
      <c r="AC7" s="2"/>
      <c r="AD7" s="2"/>
    </row>
    <row r="8" spans="1:30" ht="38.25">
      <c r="A8" s="46" t="s">
        <v>318</v>
      </c>
      <c r="B8" s="46" t="s">
        <v>319</v>
      </c>
      <c r="C8" s="46" t="s">
        <v>320</v>
      </c>
      <c r="D8" s="47" t="s">
        <v>321</v>
      </c>
      <c r="E8" s="46" t="s">
        <v>322</v>
      </c>
      <c r="F8" s="46" t="s">
        <v>510</v>
      </c>
      <c r="G8" s="46" t="s">
        <v>323</v>
      </c>
      <c r="H8" s="46" t="s">
        <v>324</v>
      </c>
      <c r="I8" s="46" t="s">
        <v>325</v>
      </c>
      <c r="J8" s="46" t="s">
        <v>512</v>
      </c>
      <c r="K8" s="46" t="s">
        <v>513</v>
      </c>
      <c r="L8" s="46" t="s">
        <v>326</v>
      </c>
      <c r="M8" s="46" t="s">
        <v>327</v>
      </c>
      <c r="N8" s="46" t="s">
        <v>181</v>
      </c>
      <c r="O8" s="46" t="s">
        <v>182</v>
      </c>
      <c r="P8" s="5"/>
      <c r="Q8" s="5"/>
      <c r="R8" s="5"/>
      <c r="S8" s="5"/>
      <c r="T8" s="5"/>
      <c r="U8" s="5"/>
      <c r="V8" s="2"/>
      <c r="W8" s="2"/>
      <c r="X8" s="2"/>
      <c r="Y8" s="2"/>
      <c r="Z8" s="2"/>
      <c r="AA8" s="2"/>
      <c r="AB8" s="2"/>
      <c r="AC8" s="2"/>
      <c r="AD8" s="2"/>
    </row>
    <row r="9" spans="1:30" ht="16.5" customHeight="1" thickBot="1">
      <c r="A9" s="35"/>
      <c r="B9" s="48" t="s">
        <v>183</v>
      </c>
      <c r="C9" s="48" t="s">
        <v>183</v>
      </c>
      <c r="D9" s="48" t="s">
        <v>183</v>
      </c>
      <c r="E9" s="48" t="s">
        <v>183</v>
      </c>
      <c r="F9" s="48" t="s">
        <v>184</v>
      </c>
      <c r="G9" s="48" t="s">
        <v>544</v>
      </c>
      <c r="H9" s="48" t="s">
        <v>544</v>
      </c>
      <c r="I9" s="48" t="s">
        <v>184</v>
      </c>
      <c r="J9" s="48" t="s">
        <v>184</v>
      </c>
      <c r="K9" s="48" t="s">
        <v>184</v>
      </c>
      <c r="L9" s="48" t="s">
        <v>185</v>
      </c>
      <c r="M9" s="48" t="s">
        <v>185</v>
      </c>
      <c r="N9" s="48" t="s">
        <v>183</v>
      </c>
      <c r="O9" s="48" t="s">
        <v>183</v>
      </c>
      <c r="P9" s="5"/>
      <c r="Q9" s="5"/>
      <c r="R9" s="5"/>
      <c r="S9" s="5"/>
      <c r="T9" s="5"/>
      <c r="U9" s="5"/>
      <c r="V9" s="2"/>
      <c r="W9" s="2"/>
      <c r="X9" s="2"/>
      <c r="Y9" s="2"/>
      <c r="Z9" s="2"/>
      <c r="AA9" s="2"/>
      <c r="AB9" s="2"/>
      <c r="AC9" s="2"/>
      <c r="AD9" s="2"/>
    </row>
    <row r="10" spans="1:30" ht="12.75">
      <c r="A10" s="30" t="s">
        <v>186</v>
      </c>
      <c r="B10" s="30">
        <v>1000</v>
      </c>
      <c r="C10" s="30">
        <v>622</v>
      </c>
      <c r="D10" s="49">
        <v>0.73</v>
      </c>
      <c r="E10" s="30">
        <v>16.7</v>
      </c>
      <c r="F10" s="30">
        <v>50.1</v>
      </c>
      <c r="G10" s="30">
        <v>46</v>
      </c>
      <c r="H10" s="30">
        <v>21</v>
      </c>
      <c r="I10" s="30">
        <v>7.18</v>
      </c>
      <c r="J10" s="30">
        <v>0.22</v>
      </c>
      <c r="K10" s="30">
        <v>0.17</v>
      </c>
      <c r="L10" s="30">
        <v>1</v>
      </c>
      <c r="M10" s="30" t="s">
        <v>508</v>
      </c>
      <c r="N10" s="30" t="s">
        <v>508</v>
      </c>
      <c r="O10" s="30" t="s">
        <v>508</v>
      </c>
      <c r="P10" s="5"/>
      <c r="Q10" s="5"/>
      <c r="R10" s="5"/>
      <c r="S10" s="5"/>
      <c r="T10" s="5"/>
      <c r="U10" s="5"/>
      <c r="V10" s="2"/>
      <c r="W10" s="2"/>
      <c r="X10" s="2"/>
      <c r="Y10" s="2"/>
      <c r="Z10" s="2"/>
      <c r="AA10" s="2"/>
      <c r="AB10" s="2"/>
      <c r="AC10" s="2"/>
      <c r="AD10" s="2"/>
    </row>
    <row r="11" spans="1:30" ht="12.75">
      <c r="A11" s="30" t="s">
        <v>186</v>
      </c>
      <c r="B11" s="30">
        <v>1000</v>
      </c>
      <c r="C11" s="30">
        <v>644</v>
      </c>
      <c r="D11" s="49">
        <v>0.73</v>
      </c>
      <c r="E11" s="30">
        <v>17.2</v>
      </c>
      <c r="F11" s="30">
        <v>50.2</v>
      </c>
      <c r="G11" s="30">
        <v>46</v>
      </c>
      <c r="H11" s="30">
        <v>21</v>
      </c>
      <c r="I11" s="30">
        <v>7.16</v>
      </c>
      <c r="J11" s="30">
        <v>0.22</v>
      </c>
      <c r="K11" s="30">
        <v>0.17</v>
      </c>
      <c r="L11" s="30">
        <v>2</v>
      </c>
      <c r="M11" s="30" t="s">
        <v>508</v>
      </c>
      <c r="N11" s="30" t="s">
        <v>508</v>
      </c>
      <c r="O11" s="30" t="s">
        <v>508</v>
      </c>
      <c r="P11" s="5"/>
      <c r="Q11" s="5"/>
      <c r="R11" s="5"/>
      <c r="S11" s="5"/>
      <c r="T11" s="5"/>
      <c r="U11" s="5"/>
      <c r="V11" s="2"/>
      <c r="W11" s="2"/>
      <c r="X11" s="2"/>
      <c r="Y11" s="2"/>
      <c r="Z11" s="2"/>
      <c r="AA11" s="2"/>
      <c r="AB11" s="2"/>
      <c r="AC11" s="2"/>
      <c r="AD11" s="2"/>
    </row>
    <row r="12" spans="1:30" ht="12.75">
      <c r="A12" s="30" t="s">
        <v>186</v>
      </c>
      <c r="B12" s="30">
        <v>1000</v>
      </c>
      <c r="C12" s="30">
        <v>667</v>
      </c>
      <c r="D12" s="49">
        <v>0.73</v>
      </c>
      <c r="E12" s="30">
        <v>17.7</v>
      </c>
      <c r="F12" s="30">
        <v>50.4</v>
      </c>
      <c r="G12" s="30">
        <v>46</v>
      </c>
      <c r="H12" s="30">
        <v>21</v>
      </c>
      <c r="I12" s="30">
        <v>7.16</v>
      </c>
      <c r="J12" s="30">
        <v>0.22</v>
      </c>
      <c r="K12" s="30">
        <v>0.17</v>
      </c>
      <c r="L12" s="30">
        <v>3</v>
      </c>
      <c r="M12" s="30" t="s">
        <v>508</v>
      </c>
      <c r="N12" s="30" t="s">
        <v>508</v>
      </c>
      <c r="O12" s="30" t="s">
        <v>508</v>
      </c>
      <c r="P12" s="5"/>
      <c r="Q12" s="5"/>
      <c r="R12" s="5"/>
      <c r="S12" s="5"/>
      <c r="T12" s="5"/>
      <c r="U12" s="5"/>
      <c r="V12" s="2"/>
      <c r="W12" s="2"/>
      <c r="X12" s="2"/>
      <c r="Y12" s="2"/>
      <c r="Z12" s="2"/>
      <c r="AA12" s="2"/>
      <c r="AB12" s="2"/>
      <c r="AC12" s="2"/>
      <c r="AD12" s="2"/>
    </row>
    <row r="13" spans="1:30" ht="12.75">
      <c r="A13" s="30" t="s">
        <v>186</v>
      </c>
      <c r="B13" s="30">
        <v>1000</v>
      </c>
      <c r="C13" s="30">
        <v>689</v>
      </c>
      <c r="D13" s="49">
        <v>0.73</v>
      </c>
      <c r="E13" s="30">
        <v>18.2</v>
      </c>
      <c r="F13" s="30">
        <v>50.7</v>
      </c>
      <c r="G13" s="30">
        <v>46</v>
      </c>
      <c r="H13" s="30">
        <v>21</v>
      </c>
      <c r="I13" s="30">
        <v>7.21</v>
      </c>
      <c r="J13" s="30">
        <v>0.21</v>
      </c>
      <c r="K13" s="30">
        <v>0.17</v>
      </c>
      <c r="L13" s="30">
        <v>4</v>
      </c>
      <c r="M13" s="30" t="s">
        <v>508</v>
      </c>
      <c r="N13" s="30" t="s">
        <v>508</v>
      </c>
      <c r="O13" s="30" t="s">
        <v>508</v>
      </c>
      <c r="P13" s="5"/>
      <c r="Q13" s="5"/>
      <c r="R13" s="5"/>
      <c r="S13" s="5"/>
      <c r="T13" s="5"/>
      <c r="U13" s="5"/>
      <c r="V13" s="2"/>
      <c r="W13" s="2"/>
      <c r="X13" s="2"/>
      <c r="Y13" s="2"/>
      <c r="Z13" s="2"/>
      <c r="AA13" s="2"/>
      <c r="AB13" s="2"/>
      <c r="AC13" s="2"/>
      <c r="AD13" s="2"/>
    </row>
    <row r="14" spans="1:30" ht="12.75">
      <c r="A14" s="30" t="s">
        <v>186</v>
      </c>
      <c r="B14" s="30">
        <v>1000</v>
      </c>
      <c r="C14" s="30">
        <v>711</v>
      </c>
      <c r="D14" s="49">
        <v>0.73</v>
      </c>
      <c r="E14" s="30">
        <v>18.7</v>
      </c>
      <c r="F14" s="30">
        <v>51.3</v>
      </c>
      <c r="G14" s="30">
        <v>47</v>
      </c>
      <c r="H14" s="30">
        <v>22</v>
      </c>
      <c r="I14" s="30">
        <v>7.32</v>
      </c>
      <c r="J14" s="30">
        <v>0.21</v>
      </c>
      <c r="K14" s="30">
        <v>0.17</v>
      </c>
      <c r="L14" s="30">
        <v>5</v>
      </c>
      <c r="M14" s="30" t="s">
        <v>508</v>
      </c>
      <c r="N14" s="30" t="s">
        <v>508</v>
      </c>
      <c r="O14" s="30" t="s">
        <v>508</v>
      </c>
      <c r="P14" s="5"/>
      <c r="Q14" s="5"/>
      <c r="R14" s="5"/>
      <c r="S14" s="5"/>
      <c r="T14" s="5"/>
      <c r="U14" s="5"/>
      <c r="V14" s="2"/>
      <c r="W14" s="2"/>
      <c r="X14" s="2"/>
      <c r="Y14" s="2"/>
      <c r="Z14" s="2"/>
      <c r="AA14" s="2"/>
      <c r="AB14" s="2"/>
      <c r="AC14" s="2"/>
      <c r="AD14" s="2"/>
    </row>
    <row r="15" spans="1:30" ht="12.75">
      <c r="A15" s="30" t="s">
        <v>186</v>
      </c>
      <c r="B15" s="30">
        <v>1000</v>
      </c>
      <c r="C15" s="30">
        <v>733</v>
      </c>
      <c r="D15" s="49">
        <v>0.73</v>
      </c>
      <c r="E15" s="30">
        <v>19.4</v>
      </c>
      <c r="F15" s="30">
        <v>52.3</v>
      </c>
      <c r="G15" s="30">
        <v>49</v>
      </c>
      <c r="H15" s="30">
        <v>24</v>
      </c>
      <c r="I15" s="30">
        <v>7.56</v>
      </c>
      <c r="J15" s="30">
        <v>0.2</v>
      </c>
      <c r="K15" s="30">
        <v>0.16</v>
      </c>
      <c r="L15" s="30">
        <v>6</v>
      </c>
      <c r="M15" s="30" t="s">
        <v>508</v>
      </c>
      <c r="N15" s="30" t="s">
        <v>508</v>
      </c>
      <c r="O15" s="30" t="s">
        <v>508</v>
      </c>
      <c r="P15" s="5"/>
      <c r="Q15" s="5"/>
      <c r="R15" s="5"/>
      <c r="S15" s="5"/>
      <c r="T15" s="5"/>
      <c r="U15" s="5"/>
      <c r="V15" s="2"/>
      <c r="W15" s="2"/>
      <c r="X15" s="2"/>
      <c r="Y15" s="2"/>
      <c r="Z15" s="2"/>
      <c r="AA15" s="2"/>
      <c r="AB15" s="2"/>
      <c r="AC15" s="2"/>
      <c r="AD15" s="2"/>
    </row>
    <row r="16" spans="1:30" ht="12.75">
      <c r="A16" s="30" t="s">
        <v>186</v>
      </c>
      <c r="B16" s="30">
        <v>1000</v>
      </c>
      <c r="C16" s="30">
        <v>756</v>
      </c>
      <c r="D16" s="49">
        <v>0.73</v>
      </c>
      <c r="E16" s="30">
        <v>20</v>
      </c>
      <c r="F16" s="30">
        <v>54</v>
      </c>
      <c r="G16" s="30">
        <v>52</v>
      </c>
      <c r="H16" s="30">
        <v>26</v>
      </c>
      <c r="I16" s="30">
        <v>7.99</v>
      </c>
      <c r="J16" s="30">
        <v>0.32</v>
      </c>
      <c r="K16" s="30">
        <v>0.23</v>
      </c>
      <c r="L16" s="30">
        <v>7</v>
      </c>
      <c r="M16" s="30" t="s">
        <v>508</v>
      </c>
      <c r="N16" s="30" t="s">
        <v>508</v>
      </c>
      <c r="O16" s="30" t="s">
        <v>508</v>
      </c>
      <c r="P16" s="5"/>
      <c r="Q16" s="5"/>
      <c r="R16" s="5"/>
      <c r="S16" s="5"/>
      <c r="T16" s="5"/>
      <c r="U16" s="5"/>
      <c r="V16" s="2"/>
      <c r="W16" s="2"/>
      <c r="X16" s="2"/>
      <c r="Y16" s="2"/>
      <c r="Z16" s="2"/>
      <c r="AA16" s="2"/>
      <c r="AB16" s="2"/>
      <c r="AC16" s="2"/>
      <c r="AD16" s="2"/>
    </row>
    <row r="17" spans="1:30" ht="12.75">
      <c r="A17" s="30" t="s">
        <v>186</v>
      </c>
      <c r="B17" s="30">
        <v>1000</v>
      </c>
      <c r="C17" s="30">
        <v>778</v>
      </c>
      <c r="D17" s="49">
        <v>0.73</v>
      </c>
      <c r="E17" s="30">
        <v>20.7</v>
      </c>
      <c r="F17" s="30">
        <v>56.8</v>
      </c>
      <c r="G17" s="30">
        <v>56</v>
      </c>
      <c r="H17" s="30">
        <v>30</v>
      </c>
      <c r="I17" s="30">
        <v>8.74</v>
      </c>
      <c r="J17" s="30">
        <v>0.31</v>
      </c>
      <c r="K17" s="30">
        <v>0.23</v>
      </c>
      <c r="L17" s="30">
        <v>8</v>
      </c>
      <c r="M17" s="30" t="s">
        <v>508</v>
      </c>
      <c r="N17" s="30" t="s">
        <v>508</v>
      </c>
      <c r="O17" s="30" t="s">
        <v>508</v>
      </c>
      <c r="P17" s="5"/>
      <c r="Q17" s="5"/>
      <c r="R17" s="5"/>
      <c r="S17" s="5"/>
      <c r="T17" s="5"/>
      <c r="U17" s="5"/>
      <c r="V17" s="2"/>
      <c r="W17" s="2"/>
      <c r="X17" s="2"/>
      <c r="Y17" s="2"/>
      <c r="Z17" s="2"/>
      <c r="AA17" s="2"/>
      <c r="AB17" s="2"/>
      <c r="AC17" s="2"/>
      <c r="AD17" s="2"/>
    </row>
    <row r="18" spans="1:30" ht="13.5" thickBot="1">
      <c r="A18" s="50" t="s">
        <v>186</v>
      </c>
      <c r="B18" s="50">
        <v>1000</v>
      </c>
      <c r="C18" s="50">
        <v>800</v>
      </c>
      <c r="D18" s="51">
        <v>0.73</v>
      </c>
      <c r="E18" s="50">
        <v>21.3</v>
      </c>
      <c r="F18" s="50">
        <v>61.3</v>
      </c>
      <c r="G18" s="50">
        <v>63</v>
      </c>
      <c r="H18" s="50">
        <v>37</v>
      </c>
      <c r="I18" s="50">
        <v>10.02</v>
      </c>
      <c r="J18" s="50">
        <v>0.31</v>
      </c>
      <c r="K18" s="50">
        <v>0.22</v>
      </c>
      <c r="L18" s="50">
        <v>9</v>
      </c>
      <c r="M18" s="50" t="s">
        <v>508</v>
      </c>
      <c r="N18" s="50" t="s">
        <v>508</v>
      </c>
      <c r="O18" s="50" t="s">
        <v>508</v>
      </c>
      <c r="P18" s="5"/>
      <c r="Q18" s="5"/>
      <c r="R18" s="5"/>
      <c r="S18" s="5"/>
      <c r="T18" s="5"/>
      <c r="U18" s="5"/>
      <c r="V18" s="2"/>
      <c r="W18" s="2"/>
      <c r="X18" s="2"/>
      <c r="Y18" s="2"/>
      <c r="Z18" s="2"/>
      <c r="AA18" s="2"/>
      <c r="AB18" s="2"/>
      <c r="AC18" s="2"/>
      <c r="AD18" s="2"/>
    </row>
    <row r="19" spans="1:30" ht="12.75">
      <c r="A19" s="30" t="s">
        <v>186</v>
      </c>
      <c r="B19" s="30">
        <v>1100</v>
      </c>
      <c r="C19" s="30">
        <v>684</v>
      </c>
      <c r="D19" s="49">
        <v>0.8</v>
      </c>
      <c r="E19" s="30">
        <v>18</v>
      </c>
      <c r="F19" s="30">
        <v>50.3</v>
      </c>
      <c r="G19" s="30">
        <v>46</v>
      </c>
      <c r="H19" s="30">
        <v>21</v>
      </c>
      <c r="I19" s="30">
        <v>7.2</v>
      </c>
      <c r="J19" s="30">
        <v>0.23</v>
      </c>
      <c r="K19" s="30">
        <v>0.18</v>
      </c>
      <c r="L19" s="30">
        <v>1</v>
      </c>
      <c r="M19" s="30" t="s">
        <v>508</v>
      </c>
      <c r="N19" s="30" t="s">
        <v>508</v>
      </c>
      <c r="O19" s="30" t="s">
        <v>508</v>
      </c>
      <c r="P19" s="5"/>
      <c r="Q19" s="5"/>
      <c r="R19" s="5"/>
      <c r="S19" s="5"/>
      <c r="T19" s="5"/>
      <c r="U19" s="5"/>
      <c r="V19" s="2"/>
      <c r="W19" s="2"/>
      <c r="X19" s="2"/>
      <c r="Y19" s="2"/>
      <c r="Z19" s="2"/>
      <c r="AA19" s="2"/>
      <c r="AB19" s="2"/>
      <c r="AC19" s="2"/>
      <c r="AD19" s="2"/>
    </row>
    <row r="20" spans="1:30" ht="12.75">
      <c r="A20" s="30" t="s">
        <v>186</v>
      </c>
      <c r="B20" s="30">
        <v>1100</v>
      </c>
      <c r="C20" s="30">
        <v>709</v>
      </c>
      <c r="D20" s="49">
        <v>0.8</v>
      </c>
      <c r="E20" s="30">
        <v>18.5</v>
      </c>
      <c r="F20" s="30">
        <v>50.4</v>
      </c>
      <c r="G20" s="30">
        <v>46</v>
      </c>
      <c r="H20" s="30">
        <v>21</v>
      </c>
      <c r="I20" s="30">
        <v>7.17</v>
      </c>
      <c r="J20" s="30">
        <v>0.22</v>
      </c>
      <c r="K20" s="30">
        <v>0.17</v>
      </c>
      <c r="L20" s="30">
        <v>2</v>
      </c>
      <c r="M20" s="30" t="s">
        <v>508</v>
      </c>
      <c r="N20" s="30" t="s">
        <v>508</v>
      </c>
      <c r="O20" s="30" t="s">
        <v>508</v>
      </c>
      <c r="P20" s="5"/>
      <c r="Q20" s="5"/>
      <c r="R20" s="5"/>
      <c r="S20" s="5"/>
      <c r="T20" s="5"/>
      <c r="U20" s="5"/>
      <c r="V20" s="2"/>
      <c r="W20" s="2"/>
      <c r="X20" s="2"/>
      <c r="Y20" s="2"/>
      <c r="Z20" s="2"/>
      <c r="AA20" s="2"/>
      <c r="AB20" s="2"/>
      <c r="AC20" s="2"/>
      <c r="AD20" s="2"/>
    </row>
    <row r="21" spans="1:30" ht="12.75">
      <c r="A21" s="30" t="s">
        <v>186</v>
      </c>
      <c r="B21" s="30">
        <v>1100</v>
      </c>
      <c r="C21" s="30">
        <v>733</v>
      </c>
      <c r="D21" s="49">
        <v>0.8</v>
      </c>
      <c r="E21" s="30">
        <v>19</v>
      </c>
      <c r="F21" s="30">
        <v>50.5</v>
      </c>
      <c r="G21" s="30">
        <v>46</v>
      </c>
      <c r="H21" s="30">
        <v>21</v>
      </c>
      <c r="I21" s="30">
        <v>7.17</v>
      </c>
      <c r="J21" s="30">
        <v>0.22</v>
      </c>
      <c r="K21" s="30">
        <v>0.17</v>
      </c>
      <c r="L21" s="30">
        <v>3</v>
      </c>
      <c r="M21" s="30" t="s">
        <v>508</v>
      </c>
      <c r="N21" s="30" t="s">
        <v>508</v>
      </c>
      <c r="O21" s="30" t="s">
        <v>508</v>
      </c>
      <c r="P21" s="5"/>
      <c r="Q21" s="5"/>
      <c r="R21" s="5"/>
      <c r="S21" s="5"/>
      <c r="T21" s="5"/>
      <c r="U21" s="5"/>
      <c r="V21" s="2"/>
      <c r="W21" s="2"/>
      <c r="X21" s="2"/>
      <c r="Y21" s="2"/>
      <c r="Z21" s="2"/>
      <c r="AA21" s="2"/>
      <c r="AB21" s="2"/>
      <c r="AC21" s="2"/>
      <c r="AD21" s="2"/>
    </row>
    <row r="22" spans="1:30" ht="12.75">
      <c r="A22" s="30" t="s">
        <v>186</v>
      </c>
      <c r="B22" s="30">
        <v>1100</v>
      </c>
      <c r="C22" s="30">
        <v>758</v>
      </c>
      <c r="D22" s="49">
        <v>0.8</v>
      </c>
      <c r="E22" s="30">
        <v>19.5</v>
      </c>
      <c r="F22" s="30">
        <v>50.8</v>
      </c>
      <c r="G22" s="30">
        <v>47</v>
      </c>
      <c r="H22" s="30">
        <v>22</v>
      </c>
      <c r="I22" s="30">
        <v>7.21</v>
      </c>
      <c r="J22" s="30">
        <v>0.22</v>
      </c>
      <c r="K22" s="30">
        <v>0.17</v>
      </c>
      <c r="L22" s="30">
        <v>4</v>
      </c>
      <c r="M22" s="30" t="s">
        <v>508</v>
      </c>
      <c r="N22" s="30" t="s">
        <v>508</v>
      </c>
      <c r="O22" s="30" t="s">
        <v>508</v>
      </c>
      <c r="P22" s="5"/>
      <c r="Q22" s="5"/>
      <c r="R22" s="5"/>
      <c r="S22" s="5"/>
      <c r="T22" s="5"/>
      <c r="U22" s="5"/>
      <c r="V22" s="2"/>
      <c r="W22" s="2"/>
      <c r="X22" s="2"/>
      <c r="Y22" s="2"/>
      <c r="Z22" s="2"/>
      <c r="AA22" s="2"/>
      <c r="AB22" s="2"/>
      <c r="AC22" s="2"/>
      <c r="AD22" s="2"/>
    </row>
    <row r="23" spans="1:30" ht="12.75">
      <c r="A23" s="30" t="s">
        <v>186</v>
      </c>
      <c r="B23" s="30">
        <v>1100</v>
      </c>
      <c r="C23" s="30">
        <v>782</v>
      </c>
      <c r="D23" s="49">
        <v>0.8</v>
      </c>
      <c r="E23" s="30">
        <v>20.1</v>
      </c>
      <c r="F23" s="30">
        <v>51.3</v>
      </c>
      <c r="G23" s="30">
        <v>48</v>
      </c>
      <c r="H23" s="30">
        <v>22</v>
      </c>
      <c r="I23" s="30">
        <v>7.32</v>
      </c>
      <c r="J23" s="30">
        <v>0.21</v>
      </c>
      <c r="K23" s="30">
        <v>0.17</v>
      </c>
      <c r="L23" s="30">
        <v>5</v>
      </c>
      <c r="M23" s="30" t="s">
        <v>508</v>
      </c>
      <c r="N23" s="30" t="s">
        <v>508</v>
      </c>
      <c r="O23" s="30" t="s">
        <v>508</v>
      </c>
      <c r="P23" s="5"/>
      <c r="Q23" s="5"/>
      <c r="R23" s="5"/>
      <c r="S23" s="5"/>
      <c r="T23" s="5"/>
      <c r="U23" s="5"/>
      <c r="V23" s="2"/>
      <c r="W23" s="2"/>
      <c r="X23" s="2"/>
      <c r="Y23" s="2"/>
      <c r="Z23" s="2"/>
      <c r="AA23" s="2"/>
      <c r="AB23" s="2"/>
      <c r="AC23" s="2"/>
      <c r="AD23" s="2"/>
    </row>
    <row r="24" spans="1:30" ht="12.75">
      <c r="A24" s="30" t="s">
        <v>186</v>
      </c>
      <c r="B24" s="30">
        <v>1100</v>
      </c>
      <c r="C24" s="30">
        <v>807</v>
      </c>
      <c r="D24" s="49">
        <v>0.8</v>
      </c>
      <c r="E24" s="30">
        <v>20.8</v>
      </c>
      <c r="F24" s="30">
        <v>52.3</v>
      </c>
      <c r="G24" s="30">
        <v>49</v>
      </c>
      <c r="H24" s="30">
        <v>24</v>
      </c>
      <c r="I24" s="30">
        <v>7.54</v>
      </c>
      <c r="J24" s="30">
        <v>0.21</v>
      </c>
      <c r="K24" s="30">
        <v>0.17</v>
      </c>
      <c r="L24" s="30">
        <v>6</v>
      </c>
      <c r="M24" s="30" t="s">
        <v>508</v>
      </c>
      <c r="N24" s="30" t="s">
        <v>508</v>
      </c>
      <c r="O24" s="30" t="s">
        <v>508</v>
      </c>
      <c r="P24" s="5"/>
      <c r="Q24" s="5"/>
      <c r="R24" s="5"/>
      <c r="S24" s="5"/>
      <c r="T24" s="5"/>
      <c r="U24" s="5"/>
      <c r="V24" s="2"/>
      <c r="W24" s="2"/>
      <c r="X24" s="2"/>
      <c r="Y24" s="2"/>
      <c r="Z24" s="2"/>
      <c r="AA24" s="2"/>
      <c r="AB24" s="2"/>
      <c r="AC24" s="2"/>
      <c r="AD24" s="2"/>
    </row>
    <row r="25" spans="1:30" ht="12.75">
      <c r="A25" s="30" t="s">
        <v>186</v>
      </c>
      <c r="B25" s="30">
        <v>1100</v>
      </c>
      <c r="C25" s="30">
        <v>831</v>
      </c>
      <c r="D25" s="49">
        <v>0.8</v>
      </c>
      <c r="E25" s="30">
        <v>21.5</v>
      </c>
      <c r="F25" s="30">
        <v>53.9</v>
      </c>
      <c r="G25" s="30">
        <v>52</v>
      </c>
      <c r="H25" s="30">
        <v>26</v>
      </c>
      <c r="I25" s="30">
        <v>7.93</v>
      </c>
      <c r="J25" s="30">
        <v>0.32</v>
      </c>
      <c r="K25" s="30">
        <v>0.23</v>
      </c>
      <c r="L25" s="30">
        <v>7</v>
      </c>
      <c r="M25" s="30" t="s">
        <v>508</v>
      </c>
      <c r="N25" s="30" t="s">
        <v>508</v>
      </c>
      <c r="O25" s="30" t="s">
        <v>508</v>
      </c>
      <c r="P25" s="5"/>
      <c r="Q25" s="5"/>
      <c r="R25" s="5"/>
      <c r="S25" s="5"/>
      <c r="T25" s="5"/>
      <c r="U25" s="5"/>
      <c r="V25" s="2"/>
      <c r="W25" s="2"/>
      <c r="X25" s="2"/>
      <c r="Y25" s="2"/>
      <c r="Z25" s="2"/>
      <c r="AA25" s="2"/>
      <c r="AB25" s="2"/>
      <c r="AC25" s="2"/>
      <c r="AD25" s="2"/>
    </row>
    <row r="26" spans="1:30" ht="12.75">
      <c r="A26" s="30" t="s">
        <v>186</v>
      </c>
      <c r="B26" s="30">
        <v>1100</v>
      </c>
      <c r="C26" s="30">
        <v>856</v>
      </c>
      <c r="D26" s="49">
        <v>0.8</v>
      </c>
      <c r="E26" s="30">
        <v>22.3</v>
      </c>
      <c r="F26" s="30">
        <v>56.5</v>
      </c>
      <c r="G26" s="30">
        <v>56</v>
      </c>
      <c r="H26" s="30">
        <v>30</v>
      </c>
      <c r="I26" s="30">
        <v>8.63</v>
      </c>
      <c r="J26" s="30">
        <v>0.31</v>
      </c>
      <c r="K26" s="30">
        <v>0.22</v>
      </c>
      <c r="L26" s="30">
        <v>8</v>
      </c>
      <c r="M26" s="30" t="s">
        <v>508</v>
      </c>
      <c r="N26" s="30" t="s">
        <v>508</v>
      </c>
      <c r="O26" s="30" t="s">
        <v>508</v>
      </c>
      <c r="P26" s="5"/>
      <c r="Q26" s="5"/>
      <c r="R26" s="5"/>
      <c r="S26" s="5"/>
      <c r="T26" s="5"/>
      <c r="U26" s="5"/>
      <c r="V26" s="2"/>
      <c r="W26" s="2"/>
      <c r="X26" s="2"/>
      <c r="Y26" s="2"/>
      <c r="Z26" s="2"/>
      <c r="AA26" s="2"/>
      <c r="AB26" s="2"/>
      <c r="AC26" s="2"/>
      <c r="AD26" s="2"/>
    </row>
    <row r="27" spans="1:30" ht="13.5" thickBot="1">
      <c r="A27" s="50" t="s">
        <v>186</v>
      </c>
      <c r="B27" s="50">
        <v>1100</v>
      </c>
      <c r="C27" s="50">
        <v>880</v>
      </c>
      <c r="D27" s="51">
        <v>0.8</v>
      </c>
      <c r="E27" s="50">
        <v>22.9</v>
      </c>
      <c r="F27" s="50">
        <v>60.6</v>
      </c>
      <c r="G27" s="50">
        <v>62</v>
      </c>
      <c r="H27" s="50">
        <v>36</v>
      </c>
      <c r="I27" s="50">
        <v>9.8</v>
      </c>
      <c r="J27" s="50">
        <v>0.3</v>
      </c>
      <c r="K27" s="50">
        <v>0.22</v>
      </c>
      <c r="L27" s="50">
        <v>9</v>
      </c>
      <c r="M27" s="50" t="s">
        <v>508</v>
      </c>
      <c r="N27" s="50" t="s">
        <v>508</v>
      </c>
      <c r="O27" s="50" t="s">
        <v>508</v>
      </c>
      <c r="P27" s="5"/>
      <c r="Q27" s="5"/>
      <c r="R27" s="5"/>
      <c r="S27" s="5"/>
      <c r="T27" s="5"/>
      <c r="U27" s="5"/>
      <c r="V27" s="2"/>
      <c r="W27" s="2"/>
      <c r="X27" s="2"/>
      <c r="Y27" s="2"/>
      <c r="Z27" s="2"/>
      <c r="AA27" s="2"/>
      <c r="AB27" s="2"/>
      <c r="AC27" s="2"/>
      <c r="AD27" s="2"/>
    </row>
    <row r="28" spans="1:30" ht="12.75">
      <c r="A28" s="30" t="s">
        <v>186</v>
      </c>
      <c r="B28" s="30">
        <v>1200</v>
      </c>
      <c r="C28" s="30">
        <v>747</v>
      </c>
      <c r="D28" s="49">
        <v>0.88</v>
      </c>
      <c r="E28" s="30">
        <v>19.3</v>
      </c>
      <c r="F28" s="30">
        <v>50.5</v>
      </c>
      <c r="G28" s="30">
        <v>46</v>
      </c>
      <c r="H28" s="30">
        <v>21</v>
      </c>
      <c r="I28" s="30">
        <v>7.21</v>
      </c>
      <c r="J28" s="30">
        <v>0.23</v>
      </c>
      <c r="K28" s="30">
        <v>0.18</v>
      </c>
      <c r="L28" s="30">
        <v>1</v>
      </c>
      <c r="M28" s="30" t="s">
        <v>508</v>
      </c>
      <c r="N28" s="30" t="s">
        <v>508</v>
      </c>
      <c r="O28" s="30" t="s">
        <v>508</v>
      </c>
      <c r="P28" s="5"/>
      <c r="Q28" s="5"/>
      <c r="R28" s="5"/>
      <c r="S28" s="5"/>
      <c r="T28" s="5"/>
      <c r="U28" s="5"/>
      <c r="V28" s="2"/>
      <c r="W28" s="2"/>
      <c r="X28" s="2"/>
      <c r="Y28" s="2"/>
      <c r="Z28" s="2"/>
      <c r="AA28" s="2"/>
      <c r="AB28" s="2"/>
      <c r="AC28" s="2"/>
      <c r="AD28" s="2"/>
    </row>
    <row r="29" spans="1:30" ht="12.75">
      <c r="A29" s="30" t="s">
        <v>186</v>
      </c>
      <c r="B29" s="30">
        <v>1200</v>
      </c>
      <c r="C29" s="30">
        <v>773</v>
      </c>
      <c r="D29" s="49">
        <v>0.88</v>
      </c>
      <c r="E29" s="30">
        <v>19.8</v>
      </c>
      <c r="F29" s="30">
        <v>50.5</v>
      </c>
      <c r="G29" s="30">
        <v>46</v>
      </c>
      <c r="H29" s="30">
        <v>21</v>
      </c>
      <c r="I29" s="30">
        <v>7.19</v>
      </c>
      <c r="J29" s="30">
        <v>0.23</v>
      </c>
      <c r="K29" s="30">
        <v>0.18</v>
      </c>
      <c r="L29" s="30">
        <v>2</v>
      </c>
      <c r="M29" s="30" t="s">
        <v>508</v>
      </c>
      <c r="N29" s="30" t="s">
        <v>508</v>
      </c>
      <c r="O29" s="30" t="s">
        <v>508</v>
      </c>
      <c r="P29" s="5"/>
      <c r="Q29" s="5"/>
      <c r="R29" s="5"/>
      <c r="S29" s="5"/>
      <c r="T29" s="5"/>
      <c r="U29" s="5"/>
      <c r="V29" s="2"/>
      <c r="W29" s="2"/>
      <c r="X29" s="2"/>
      <c r="Y29" s="2"/>
      <c r="Z29" s="2"/>
      <c r="AA29" s="2"/>
      <c r="AB29" s="2"/>
      <c r="AC29" s="2"/>
      <c r="AD29" s="2"/>
    </row>
    <row r="30" spans="1:30" ht="12.75">
      <c r="A30" s="30" t="s">
        <v>186</v>
      </c>
      <c r="B30" s="30">
        <v>1200</v>
      </c>
      <c r="C30" s="30">
        <v>800</v>
      </c>
      <c r="D30" s="49">
        <v>0.88</v>
      </c>
      <c r="E30" s="30">
        <v>20.3</v>
      </c>
      <c r="F30" s="30">
        <v>50.7</v>
      </c>
      <c r="G30" s="30">
        <v>46</v>
      </c>
      <c r="H30" s="30">
        <v>21</v>
      </c>
      <c r="I30" s="30">
        <v>7.18</v>
      </c>
      <c r="J30" s="30">
        <v>0.22</v>
      </c>
      <c r="K30" s="30">
        <v>0.18</v>
      </c>
      <c r="L30" s="30">
        <v>3</v>
      </c>
      <c r="M30" s="30" t="s">
        <v>508</v>
      </c>
      <c r="N30" s="30" t="s">
        <v>508</v>
      </c>
      <c r="O30" s="30" t="s">
        <v>508</v>
      </c>
      <c r="P30" s="5"/>
      <c r="Q30" s="5"/>
      <c r="R30" s="5"/>
      <c r="S30" s="5"/>
      <c r="T30" s="5"/>
      <c r="U30" s="5"/>
      <c r="V30" s="2"/>
      <c r="W30" s="2"/>
      <c r="X30" s="2"/>
      <c r="Y30" s="2"/>
      <c r="Z30" s="2"/>
      <c r="AA30" s="2"/>
      <c r="AB30" s="2"/>
      <c r="AC30" s="2"/>
      <c r="AD30" s="2"/>
    </row>
    <row r="31" spans="1:30" ht="12.75">
      <c r="A31" s="30" t="s">
        <v>186</v>
      </c>
      <c r="B31" s="30">
        <v>1200</v>
      </c>
      <c r="C31" s="30">
        <v>827</v>
      </c>
      <c r="D31" s="49">
        <v>0.88</v>
      </c>
      <c r="E31" s="30">
        <v>20.9</v>
      </c>
      <c r="F31" s="30">
        <v>50.9</v>
      </c>
      <c r="G31" s="30">
        <v>47</v>
      </c>
      <c r="H31" s="30">
        <v>22</v>
      </c>
      <c r="I31" s="30">
        <v>7.22</v>
      </c>
      <c r="J31" s="30">
        <v>0.22</v>
      </c>
      <c r="K31" s="30">
        <v>0.17</v>
      </c>
      <c r="L31" s="30">
        <v>4</v>
      </c>
      <c r="M31" s="30" t="s">
        <v>508</v>
      </c>
      <c r="N31" s="30" t="s">
        <v>508</v>
      </c>
      <c r="O31" s="30" t="s">
        <v>508</v>
      </c>
      <c r="P31" s="5"/>
      <c r="Q31" s="5"/>
      <c r="R31" s="5"/>
      <c r="S31" s="5"/>
      <c r="T31" s="5"/>
      <c r="U31" s="5"/>
      <c r="V31" s="2"/>
      <c r="W31" s="2"/>
      <c r="X31" s="2"/>
      <c r="Y31" s="2"/>
      <c r="Z31" s="2"/>
      <c r="AA31" s="2"/>
      <c r="AB31" s="2"/>
      <c r="AC31" s="2"/>
      <c r="AD31" s="2"/>
    </row>
    <row r="32" spans="1:30" ht="12.75">
      <c r="A32" s="30" t="s">
        <v>186</v>
      </c>
      <c r="B32" s="30">
        <v>1200</v>
      </c>
      <c r="C32" s="30">
        <v>853</v>
      </c>
      <c r="D32" s="49">
        <v>0.88</v>
      </c>
      <c r="E32" s="30">
        <v>21.5</v>
      </c>
      <c r="F32" s="30">
        <v>51.4</v>
      </c>
      <c r="G32" s="30">
        <v>48</v>
      </c>
      <c r="H32" s="30">
        <v>23</v>
      </c>
      <c r="I32" s="30">
        <v>7.31</v>
      </c>
      <c r="J32" s="30">
        <v>0.22</v>
      </c>
      <c r="K32" s="30">
        <v>0.17</v>
      </c>
      <c r="L32" s="30">
        <v>5</v>
      </c>
      <c r="M32" s="30" t="s">
        <v>508</v>
      </c>
      <c r="N32" s="30" t="s">
        <v>508</v>
      </c>
      <c r="O32" s="30" t="s">
        <v>508</v>
      </c>
      <c r="P32" s="5"/>
      <c r="Q32" s="5"/>
      <c r="R32" s="5"/>
      <c r="S32" s="5"/>
      <c r="T32" s="5"/>
      <c r="U32" s="5"/>
      <c r="V32" s="2"/>
      <c r="W32" s="2"/>
      <c r="X32" s="2"/>
      <c r="Y32" s="2"/>
      <c r="Z32" s="2"/>
      <c r="AA32" s="2"/>
      <c r="AB32" s="2"/>
      <c r="AC32" s="2"/>
      <c r="AD32" s="2"/>
    </row>
    <row r="33" spans="1:30" ht="12.75">
      <c r="A33" s="30" t="s">
        <v>186</v>
      </c>
      <c r="B33" s="30">
        <v>1200</v>
      </c>
      <c r="C33" s="30">
        <v>880</v>
      </c>
      <c r="D33" s="49">
        <v>0.88</v>
      </c>
      <c r="E33" s="30">
        <v>22.2</v>
      </c>
      <c r="F33" s="30">
        <v>52.3</v>
      </c>
      <c r="G33" s="30">
        <v>49</v>
      </c>
      <c r="H33" s="30">
        <v>24</v>
      </c>
      <c r="I33" s="30">
        <v>7.52</v>
      </c>
      <c r="J33" s="30">
        <v>0.21</v>
      </c>
      <c r="K33" s="30">
        <v>0.17</v>
      </c>
      <c r="L33" s="30">
        <v>6</v>
      </c>
      <c r="M33" s="30" t="s">
        <v>508</v>
      </c>
      <c r="N33" s="30" t="s">
        <v>508</v>
      </c>
      <c r="O33" s="30" t="s">
        <v>508</v>
      </c>
      <c r="P33" s="5"/>
      <c r="Q33" s="5"/>
      <c r="R33" s="5"/>
      <c r="S33" s="5"/>
      <c r="T33" s="5"/>
      <c r="U33" s="5"/>
      <c r="V33" s="2"/>
      <c r="W33" s="2"/>
      <c r="X33" s="2"/>
      <c r="Y33" s="2"/>
      <c r="Z33" s="2"/>
      <c r="AA33" s="2"/>
      <c r="AB33" s="2"/>
      <c r="AC33" s="2"/>
      <c r="AD33" s="2"/>
    </row>
    <row r="34" spans="1:30" ht="12.75">
      <c r="A34" s="30" t="s">
        <v>186</v>
      </c>
      <c r="B34" s="30">
        <v>1200</v>
      </c>
      <c r="C34" s="30">
        <v>907</v>
      </c>
      <c r="D34" s="49">
        <v>0.88</v>
      </c>
      <c r="E34" s="30">
        <v>23</v>
      </c>
      <c r="F34" s="30">
        <v>53.8</v>
      </c>
      <c r="G34" s="30">
        <v>51</v>
      </c>
      <c r="H34" s="30">
        <v>26</v>
      </c>
      <c r="I34" s="30">
        <v>7.89</v>
      </c>
      <c r="J34" s="30">
        <v>0.31</v>
      </c>
      <c r="K34" s="30">
        <v>0.23</v>
      </c>
      <c r="L34" s="30">
        <v>7</v>
      </c>
      <c r="M34" s="30" t="s">
        <v>508</v>
      </c>
      <c r="N34" s="30" t="s">
        <v>508</v>
      </c>
      <c r="O34" s="30" t="s">
        <v>508</v>
      </c>
      <c r="P34" s="5"/>
      <c r="Q34" s="5"/>
      <c r="R34" s="5"/>
      <c r="S34" s="5"/>
      <c r="T34" s="5"/>
      <c r="U34" s="5"/>
      <c r="V34" s="2"/>
      <c r="W34" s="2"/>
      <c r="X34" s="2"/>
      <c r="Y34" s="2"/>
      <c r="Z34" s="2"/>
      <c r="AA34" s="2"/>
      <c r="AB34" s="2"/>
      <c r="AC34" s="2"/>
      <c r="AD34" s="2"/>
    </row>
    <row r="35" spans="1:30" ht="12.75">
      <c r="A35" s="30" t="s">
        <v>186</v>
      </c>
      <c r="B35" s="30">
        <v>1200</v>
      </c>
      <c r="C35" s="30">
        <v>933</v>
      </c>
      <c r="D35" s="49">
        <v>0.88</v>
      </c>
      <c r="E35" s="30">
        <v>23.7</v>
      </c>
      <c r="F35" s="30">
        <v>56.2</v>
      </c>
      <c r="G35" s="30">
        <v>55</v>
      </c>
      <c r="H35" s="30">
        <v>30</v>
      </c>
      <c r="I35" s="30">
        <v>8.53</v>
      </c>
      <c r="J35" s="30">
        <v>0.31</v>
      </c>
      <c r="K35" s="30">
        <v>0.22</v>
      </c>
      <c r="L35" s="30">
        <v>8</v>
      </c>
      <c r="M35" s="30" t="s">
        <v>508</v>
      </c>
      <c r="N35" s="30" t="s">
        <v>508</v>
      </c>
      <c r="O35" s="30" t="s">
        <v>508</v>
      </c>
      <c r="P35" s="5"/>
      <c r="Q35" s="5"/>
      <c r="R35" s="5"/>
      <c r="S35" s="5"/>
      <c r="T35" s="5"/>
      <c r="U35" s="5"/>
      <c r="V35" s="2"/>
      <c r="W35" s="2"/>
      <c r="X35" s="2"/>
      <c r="Y35" s="2"/>
      <c r="Z35" s="2"/>
      <c r="AA35" s="2"/>
      <c r="AB35" s="2"/>
      <c r="AC35" s="2"/>
      <c r="AD35" s="2"/>
    </row>
    <row r="36" spans="1:30" ht="13.5" thickBot="1">
      <c r="A36" s="50" t="s">
        <v>186</v>
      </c>
      <c r="B36" s="50">
        <v>1200</v>
      </c>
      <c r="C36" s="50">
        <v>960</v>
      </c>
      <c r="D36" s="51">
        <v>0.88</v>
      </c>
      <c r="E36" s="50">
        <v>24.4</v>
      </c>
      <c r="F36" s="50">
        <v>59.9</v>
      </c>
      <c r="G36" s="50">
        <v>61</v>
      </c>
      <c r="H36" s="50">
        <v>35</v>
      </c>
      <c r="I36" s="50">
        <v>9.62</v>
      </c>
      <c r="J36" s="50">
        <v>0.3</v>
      </c>
      <c r="K36" s="50">
        <v>0.22</v>
      </c>
      <c r="L36" s="50">
        <v>9</v>
      </c>
      <c r="M36" s="50" t="s">
        <v>508</v>
      </c>
      <c r="N36" s="50" t="s">
        <v>508</v>
      </c>
      <c r="O36" s="50" t="s">
        <v>508</v>
      </c>
      <c r="P36" s="5"/>
      <c r="Q36" s="5"/>
      <c r="R36" s="5"/>
      <c r="S36" s="5"/>
      <c r="T36" s="5"/>
      <c r="U36" s="5"/>
      <c r="V36" s="2"/>
      <c r="W36" s="2"/>
      <c r="X36" s="2"/>
      <c r="Y36" s="2"/>
      <c r="Z36" s="2"/>
      <c r="AA36" s="2"/>
      <c r="AB36" s="2"/>
      <c r="AC36" s="2"/>
      <c r="AD36" s="2"/>
    </row>
    <row r="37" spans="1:30" ht="12.75">
      <c r="A37" s="30" t="s">
        <v>186</v>
      </c>
      <c r="B37" s="30">
        <v>1300</v>
      </c>
      <c r="C37" s="30">
        <v>809</v>
      </c>
      <c r="D37" s="49">
        <v>0.95</v>
      </c>
      <c r="E37" s="30">
        <v>20.5</v>
      </c>
      <c r="F37" s="30">
        <v>50.6</v>
      </c>
      <c r="G37" s="30">
        <v>46</v>
      </c>
      <c r="H37" s="30">
        <v>21</v>
      </c>
      <c r="I37" s="30">
        <v>7.23</v>
      </c>
      <c r="J37" s="30">
        <v>0.24</v>
      </c>
      <c r="K37" s="30">
        <v>0.18</v>
      </c>
      <c r="L37" s="30">
        <v>1</v>
      </c>
      <c r="M37" s="30" t="s">
        <v>508</v>
      </c>
      <c r="N37" s="30" t="s">
        <v>508</v>
      </c>
      <c r="O37" s="30" t="s">
        <v>508</v>
      </c>
      <c r="P37" s="5"/>
      <c r="Q37" s="5"/>
      <c r="R37" s="5"/>
      <c r="S37" s="5"/>
      <c r="T37" s="5"/>
      <c r="U37" s="5"/>
      <c r="V37" s="2"/>
      <c r="W37" s="2"/>
      <c r="X37" s="2"/>
      <c r="Y37" s="2"/>
      <c r="Z37" s="2"/>
      <c r="AA37" s="2"/>
      <c r="AB37" s="2"/>
      <c r="AC37" s="2"/>
      <c r="AD37" s="2"/>
    </row>
    <row r="38" spans="1:30" ht="12.75">
      <c r="A38" s="30" t="s">
        <v>186</v>
      </c>
      <c r="B38" s="30">
        <v>1300</v>
      </c>
      <c r="C38" s="30">
        <v>838</v>
      </c>
      <c r="D38" s="49">
        <v>0.95</v>
      </c>
      <c r="E38" s="30">
        <v>21</v>
      </c>
      <c r="F38" s="30">
        <v>50.7</v>
      </c>
      <c r="G38" s="30">
        <v>46</v>
      </c>
      <c r="H38" s="30">
        <v>21</v>
      </c>
      <c r="I38" s="30">
        <v>7.2</v>
      </c>
      <c r="J38" s="30">
        <v>0.23</v>
      </c>
      <c r="K38" s="30">
        <v>0.18</v>
      </c>
      <c r="L38" s="30">
        <v>2</v>
      </c>
      <c r="M38" s="30" t="s">
        <v>508</v>
      </c>
      <c r="N38" s="30" t="s">
        <v>508</v>
      </c>
      <c r="O38" s="30" t="s">
        <v>508</v>
      </c>
      <c r="P38" s="5"/>
      <c r="Q38" s="5"/>
      <c r="R38" s="5"/>
      <c r="S38" s="5"/>
      <c r="T38" s="5"/>
      <c r="U38" s="5"/>
      <c r="V38" s="2"/>
      <c r="W38" s="2"/>
      <c r="X38" s="2"/>
      <c r="Y38" s="2"/>
      <c r="Z38" s="2"/>
      <c r="AA38" s="2"/>
      <c r="AB38" s="2"/>
      <c r="AC38" s="2"/>
      <c r="AD38" s="2"/>
    </row>
    <row r="39" spans="1:30" ht="12.75">
      <c r="A39" s="30" t="s">
        <v>186</v>
      </c>
      <c r="B39" s="30">
        <v>1300</v>
      </c>
      <c r="C39" s="30">
        <v>867</v>
      </c>
      <c r="D39" s="49">
        <v>0.95</v>
      </c>
      <c r="E39" s="30">
        <v>21.6</v>
      </c>
      <c r="F39" s="30">
        <v>50.8</v>
      </c>
      <c r="G39" s="30">
        <v>47</v>
      </c>
      <c r="H39" s="30">
        <v>22</v>
      </c>
      <c r="I39" s="30">
        <v>7.2</v>
      </c>
      <c r="J39" s="30">
        <v>0.23</v>
      </c>
      <c r="K39" s="30">
        <v>0.18</v>
      </c>
      <c r="L39" s="30">
        <v>3</v>
      </c>
      <c r="M39" s="30" t="s">
        <v>508</v>
      </c>
      <c r="N39" s="30" t="s">
        <v>508</v>
      </c>
      <c r="O39" s="30" t="s">
        <v>508</v>
      </c>
      <c r="P39" s="5"/>
      <c r="Q39" s="5"/>
      <c r="R39" s="5"/>
      <c r="S39" s="5"/>
      <c r="T39" s="5"/>
      <c r="U39" s="5"/>
      <c r="V39" s="2"/>
      <c r="W39" s="2"/>
      <c r="X39" s="2"/>
      <c r="Y39" s="2"/>
      <c r="Z39" s="2"/>
      <c r="AA39" s="2"/>
      <c r="AB39" s="2"/>
      <c r="AC39" s="2"/>
      <c r="AD39" s="2"/>
    </row>
    <row r="40" spans="1:30" ht="12.75">
      <c r="A40" s="30" t="s">
        <v>186</v>
      </c>
      <c r="B40" s="30">
        <v>1300</v>
      </c>
      <c r="C40" s="30">
        <v>896</v>
      </c>
      <c r="D40" s="49">
        <v>0.95</v>
      </c>
      <c r="E40" s="30">
        <v>22.2</v>
      </c>
      <c r="F40" s="30">
        <v>51</v>
      </c>
      <c r="G40" s="30">
        <v>47</v>
      </c>
      <c r="H40" s="30">
        <v>22</v>
      </c>
      <c r="I40" s="30">
        <v>7.22</v>
      </c>
      <c r="J40" s="30">
        <v>0.22</v>
      </c>
      <c r="K40" s="30">
        <v>0.18</v>
      </c>
      <c r="L40" s="30">
        <v>4</v>
      </c>
      <c r="M40" s="30" t="s">
        <v>508</v>
      </c>
      <c r="N40" s="30" t="s">
        <v>508</v>
      </c>
      <c r="O40" s="30" t="s">
        <v>508</v>
      </c>
      <c r="P40" s="5"/>
      <c r="Q40" s="5"/>
      <c r="R40" s="5"/>
      <c r="S40" s="5"/>
      <c r="T40" s="5"/>
      <c r="U40" s="5"/>
      <c r="V40" s="2"/>
      <c r="W40" s="2"/>
      <c r="X40" s="2"/>
      <c r="Y40" s="2"/>
      <c r="Z40" s="2"/>
      <c r="AA40" s="2"/>
      <c r="AB40" s="2"/>
      <c r="AC40" s="2"/>
      <c r="AD40" s="2"/>
    </row>
    <row r="41" spans="1:30" ht="12.75">
      <c r="A41" s="30" t="s">
        <v>186</v>
      </c>
      <c r="B41" s="30">
        <v>1300</v>
      </c>
      <c r="C41" s="30">
        <v>924</v>
      </c>
      <c r="D41" s="49">
        <v>0.95</v>
      </c>
      <c r="E41" s="30">
        <v>22.9</v>
      </c>
      <c r="F41" s="30">
        <v>51.5</v>
      </c>
      <c r="G41" s="30">
        <v>48</v>
      </c>
      <c r="H41" s="30">
        <v>23</v>
      </c>
      <c r="I41" s="30">
        <v>7.31</v>
      </c>
      <c r="J41" s="30">
        <v>0.22</v>
      </c>
      <c r="K41" s="30">
        <v>0.18</v>
      </c>
      <c r="L41" s="30">
        <v>5</v>
      </c>
      <c r="M41" s="30" t="s">
        <v>508</v>
      </c>
      <c r="N41" s="30" t="s">
        <v>508</v>
      </c>
      <c r="O41" s="30" t="s">
        <v>508</v>
      </c>
      <c r="P41" s="5"/>
      <c r="Q41" s="5"/>
      <c r="R41" s="5"/>
      <c r="S41" s="5"/>
      <c r="T41" s="5"/>
      <c r="U41" s="5"/>
      <c r="V41" s="2"/>
      <c r="W41" s="2"/>
      <c r="X41" s="2"/>
      <c r="Y41" s="2"/>
      <c r="Z41" s="2"/>
      <c r="AA41" s="2"/>
      <c r="AB41" s="2"/>
      <c r="AC41" s="2"/>
      <c r="AD41" s="2"/>
    </row>
    <row r="42" spans="1:30" ht="12.75">
      <c r="A42" s="30" t="s">
        <v>186</v>
      </c>
      <c r="B42" s="30">
        <v>1300</v>
      </c>
      <c r="C42" s="30">
        <v>953</v>
      </c>
      <c r="D42" s="49">
        <v>0.95</v>
      </c>
      <c r="E42" s="30">
        <v>23.6</v>
      </c>
      <c r="F42" s="30">
        <v>52.4</v>
      </c>
      <c r="G42" s="30">
        <v>49</v>
      </c>
      <c r="H42" s="30">
        <v>24</v>
      </c>
      <c r="I42" s="30">
        <v>7.5</v>
      </c>
      <c r="J42" s="30">
        <v>0.22</v>
      </c>
      <c r="K42" s="30">
        <v>0.17</v>
      </c>
      <c r="L42" s="30">
        <v>6</v>
      </c>
      <c r="M42" s="30" t="s">
        <v>508</v>
      </c>
      <c r="N42" s="30" t="s">
        <v>508</v>
      </c>
      <c r="O42" s="30" t="s">
        <v>508</v>
      </c>
      <c r="P42" s="5"/>
      <c r="Q42" s="5"/>
      <c r="R42" s="5"/>
      <c r="S42" s="5"/>
      <c r="T42" s="5"/>
      <c r="U42" s="5"/>
      <c r="V42" s="2"/>
      <c r="W42" s="2"/>
      <c r="X42" s="2"/>
      <c r="Y42" s="2"/>
      <c r="Z42" s="2"/>
      <c r="AA42" s="2"/>
      <c r="AB42" s="2"/>
      <c r="AC42" s="2"/>
      <c r="AD42" s="2"/>
    </row>
    <row r="43" spans="1:30" ht="12.75">
      <c r="A43" s="30" t="s">
        <v>186</v>
      </c>
      <c r="B43" s="30">
        <v>1300</v>
      </c>
      <c r="C43" s="30">
        <v>982</v>
      </c>
      <c r="D43" s="49">
        <v>0.95</v>
      </c>
      <c r="E43" s="30">
        <v>24.4</v>
      </c>
      <c r="F43" s="30">
        <v>53.7</v>
      </c>
      <c r="G43" s="30">
        <v>51</v>
      </c>
      <c r="H43" s="30">
        <v>26</v>
      </c>
      <c r="I43" s="30">
        <v>7.85</v>
      </c>
      <c r="J43" s="30">
        <v>0.31</v>
      </c>
      <c r="K43" s="30">
        <v>0.23</v>
      </c>
      <c r="L43" s="30">
        <v>7</v>
      </c>
      <c r="M43" s="30" t="s">
        <v>508</v>
      </c>
      <c r="N43" s="30" t="s">
        <v>508</v>
      </c>
      <c r="O43" s="30" t="s">
        <v>508</v>
      </c>
      <c r="P43" s="5"/>
      <c r="Q43" s="5"/>
      <c r="R43" s="5"/>
      <c r="S43" s="5"/>
      <c r="T43" s="5"/>
      <c r="U43" s="5"/>
      <c r="V43" s="2"/>
      <c r="W43" s="2"/>
      <c r="X43" s="2"/>
      <c r="Y43" s="2"/>
      <c r="Z43" s="2"/>
      <c r="AA43" s="2"/>
      <c r="AB43" s="2"/>
      <c r="AC43" s="2"/>
      <c r="AD43" s="2"/>
    </row>
    <row r="44" spans="1:30" ht="12.75">
      <c r="A44" s="30" t="s">
        <v>186</v>
      </c>
      <c r="B44" s="30">
        <v>1300</v>
      </c>
      <c r="C44" s="31">
        <v>1011</v>
      </c>
      <c r="D44" s="52">
        <v>0.95</v>
      </c>
      <c r="E44" s="31">
        <v>25.2</v>
      </c>
      <c r="F44" s="31">
        <v>56</v>
      </c>
      <c r="G44" s="31">
        <v>55</v>
      </c>
      <c r="H44" s="31">
        <v>29</v>
      </c>
      <c r="I44" s="31">
        <v>8.45</v>
      </c>
      <c r="J44" s="31">
        <v>0.3</v>
      </c>
      <c r="K44" s="31">
        <v>0.22</v>
      </c>
      <c r="L44" s="30">
        <v>8</v>
      </c>
      <c r="M44" s="30" t="s">
        <v>508</v>
      </c>
      <c r="N44" s="30" t="s">
        <v>508</v>
      </c>
      <c r="O44" s="30" t="s">
        <v>508</v>
      </c>
      <c r="P44" s="5"/>
      <c r="Q44" s="5"/>
      <c r="R44" s="5"/>
      <c r="S44" s="5"/>
      <c r="T44" s="5"/>
      <c r="U44" s="5"/>
      <c r="V44" s="2"/>
      <c r="W44" s="2"/>
      <c r="X44" s="2"/>
      <c r="Y44" s="2"/>
      <c r="Z44" s="2"/>
      <c r="AA44" s="2"/>
      <c r="AB44" s="2"/>
      <c r="AC44" s="2"/>
      <c r="AD44" s="2"/>
    </row>
    <row r="45" spans="1:30" ht="13.5" thickBot="1">
      <c r="A45" s="50" t="s">
        <v>186</v>
      </c>
      <c r="B45" s="50">
        <v>1300</v>
      </c>
      <c r="C45" s="50">
        <v>1040</v>
      </c>
      <c r="D45" s="51">
        <v>0.95</v>
      </c>
      <c r="E45" s="50">
        <v>25.9</v>
      </c>
      <c r="F45" s="50">
        <v>59.5</v>
      </c>
      <c r="G45" s="50">
        <v>60</v>
      </c>
      <c r="H45" s="50">
        <v>34</v>
      </c>
      <c r="I45" s="50">
        <v>9.46</v>
      </c>
      <c r="J45" s="50">
        <v>0.3</v>
      </c>
      <c r="K45" s="50">
        <v>0.22</v>
      </c>
      <c r="L45" s="50">
        <v>9</v>
      </c>
      <c r="M45" s="50" t="s">
        <v>508</v>
      </c>
      <c r="N45" s="50" t="s">
        <v>508</v>
      </c>
      <c r="O45" s="50" t="s">
        <v>508</v>
      </c>
      <c r="P45" s="5"/>
      <c r="Q45" s="5"/>
      <c r="R45" s="5"/>
      <c r="S45" s="5"/>
      <c r="T45" s="5"/>
      <c r="U45" s="5"/>
      <c r="V45" s="2"/>
      <c r="W45" s="2"/>
      <c r="X45" s="2"/>
      <c r="Y45" s="2"/>
      <c r="Z45" s="2"/>
      <c r="AA45" s="2"/>
      <c r="AB45" s="2"/>
      <c r="AC45" s="2"/>
      <c r="AD45" s="2"/>
    </row>
    <row r="46" spans="1:30" ht="12.75">
      <c r="A46" s="30" t="s">
        <v>186</v>
      </c>
      <c r="B46" s="30">
        <v>1400</v>
      </c>
      <c r="C46" s="30">
        <v>871</v>
      </c>
      <c r="D46" s="49">
        <v>1.02</v>
      </c>
      <c r="E46" s="30">
        <v>21.7</v>
      </c>
      <c r="F46" s="30">
        <v>50.7</v>
      </c>
      <c r="G46" s="30">
        <v>47</v>
      </c>
      <c r="H46" s="30">
        <v>22</v>
      </c>
      <c r="I46" s="30">
        <v>7.25</v>
      </c>
      <c r="J46" s="30">
        <v>0.24</v>
      </c>
      <c r="K46" s="30">
        <v>0.18</v>
      </c>
      <c r="L46" s="30">
        <v>1</v>
      </c>
      <c r="M46" s="30" t="s">
        <v>508</v>
      </c>
      <c r="N46" s="30" t="s">
        <v>508</v>
      </c>
      <c r="O46" s="30" t="s">
        <v>508</v>
      </c>
      <c r="P46" s="5"/>
      <c r="Q46" s="5"/>
      <c r="R46" s="5"/>
      <c r="S46" s="5"/>
      <c r="T46" s="5"/>
      <c r="U46" s="5"/>
      <c r="V46" s="2"/>
      <c r="W46" s="2"/>
      <c r="X46" s="2"/>
      <c r="Y46" s="2"/>
      <c r="Z46" s="2"/>
      <c r="AA46" s="2"/>
      <c r="AB46" s="2"/>
      <c r="AC46" s="2"/>
      <c r="AD46" s="2"/>
    </row>
    <row r="47" spans="1:30" ht="12.75">
      <c r="A47" s="30" t="s">
        <v>186</v>
      </c>
      <c r="B47" s="30">
        <v>1400</v>
      </c>
      <c r="C47" s="30">
        <v>902</v>
      </c>
      <c r="D47" s="49">
        <v>1.02</v>
      </c>
      <c r="E47" s="30">
        <v>22.3</v>
      </c>
      <c r="F47" s="30">
        <v>50.8</v>
      </c>
      <c r="G47" s="30">
        <v>47</v>
      </c>
      <c r="H47" s="30">
        <v>22</v>
      </c>
      <c r="I47" s="30">
        <v>7.22</v>
      </c>
      <c r="J47" s="30">
        <v>0.24</v>
      </c>
      <c r="K47" s="30">
        <v>0.18</v>
      </c>
      <c r="L47" s="30">
        <v>2</v>
      </c>
      <c r="M47" s="30" t="s">
        <v>508</v>
      </c>
      <c r="N47" s="30" t="s">
        <v>508</v>
      </c>
      <c r="O47" s="30" t="s">
        <v>508</v>
      </c>
      <c r="P47" s="5"/>
      <c r="Q47" s="5"/>
      <c r="R47" s="5"/>
      <c r="S47" s="5"/>
      <c r="T47" s="5"/>
      <c r="U47" s="5"/>
      <c r="V47" s="2"/>
      <c r="W47" s="2"/>
      <c r="X47" s="2"/>
      <c r="Y47" s="2"/>
      <c r="Z47" s="2"/>
      <c r="AA47" s="2"/>
      <c r="AB47" s="2"/>
      <c r="AC47" s="2"/>
      <c r="AD47" s="2"/>
    </row>
    <row r="48" spans="1:30" ht="12.75">
      <c r="A48" s="30" t="s">
        <v>186</v>
      </c>
      <c r="B48" s="30">
        <v>1400</v>
      </c>
      <c r="C48" s="30">
        <v>933</v>
      </c>
      <c r="D48" s="49">
        <v>1.02</v>
      </c>
      <c r="E48" s="30">
        <v>22.9</v>
      </c>
      <c r="F48" s="30">
        <v>50.9</v>
      </c>
      <c r="G48" s="30">
        <v>47</v>
      </c>
      <c r="H48" s="30">
        <v>22</v>
      </c>
      <c r="I48" s="30">
        <v>7.21</v>
      </c>
      <c r="J48" s="30">
        <v>0.23</v>
      </c>
      <c r="K48" s="30">
        <v>0.18</v>
      </c>
      <c r="L48" s="30">
        <v>3</v>
      </c>
      <c r="M48" s="30" t="s">
        <v>508</v>
      </c>
      <c r="N48" s="30" t="s">
        <v>508</v>
      </c>
      <c r="O48" s="30" t="s">
        <v>508</v>
      </c>
      <c r="P48" s="5"/>
      <c r="Q48" s="5"/>
      <c r="R48" s="5"/>
      <c r="S48" s="5"/>
      <c r="T48" s="5"/>
      <c r="U48" s="5"/>
      <c r="V48" s="2"/>
      <c r="W48" s="2"/>
      <c r="X48" s="2"/>
      <c r="Y48" s="2"/>
      <c r="Z48" s="2"/>
      <c r="AA48" s="2"/>
      <c r="AB48" s="2"/>
      <c r="AC48" s="2"/>
      <c r="AD48" s="2"/>
    </row>
    <row r="49" spans="1:30" ht="12.75">
      <c r="A49" s="30" t="s">
        <v>186</v>
      </c>
      <c r="B49" s="30">
        <v>1400</v>
      </c>
      <c r="C49" s="30">
        <v>964</v>
      </c>
      <c r="D49" s="49">
        <v>1.02</v>
      </c>
      <c r="E49" s="30">
        <v>23.5</v>
      </c>
      <c r="F49" s="30">
        <v>51.2</v>
      </c>
      <c r="G49" s="30">
        <v>47</v>
      </c>
      <c r="H49" s="30">
        <v>22</v>
      </c>
      <c r="I49" s="30">
        <v>7.23</v>
      </c>
      <c r="J49" s="30">
        <v>0.23</v>
      </c>
      <c r="K49" s="30">
        <v>0.18</v>
      </c>
      <c r="L49" s="30">
        <v>4</v>
      </c>
      <c r="M49" s="30" t="s">
        <v>508</v>
      </c>
      <c r="N49" s="30" t="s">
        <v>508</v>
      </c>
      <c r="O49" s="30" t="s">
        <v>508</v>
      </c>
      <c r="P49" s="5"/>
      <c r="Q49" s="5"/>
      <c r="R49" s="5"/>
      <c r="S49" s="5"/>
      <c r="T49" s="5"/>
      <c r="U49" s="5"/>
      <c r="V49" s="2"/>
      <c r="W49" s="2"/>
      <c r="X49" s="2"/>
      <c r="Y49" s="2"/>
      <c r="Z49" s="2"/>
      <c r="AA49" s="2"/>
      <c r="AB49" s="2"/>
      <c r="AC49" s="2"/>
      <c r="AD49" s="2"/>
    </row>
    <row r="50" spans="1:30" ht="12.75">
      <c r="A50" s="30" t="s">
        <v>186</v>
      </c>
      <c r="B50" s="30">
        <v>1400</v>
      </c>
      <c r="C50" s="30">
        <v>996</v>
      </c>
      <c r="D50" s="49">
        <v>1.02</v>
      </c>
      <c r="E50" s="30">
        <v>24.2</v>
      </c>
      <c r="F50" s="30">
        <v>51.6</v>
      </c>
      <c r="G50" s="30">
        <v>48</v>
      </c>
      <c r="H50" s="30">
        <v>23</v>
      </c>
      <c r="I50" s="30">
        <v>7.31</v>
      </c>
      <c r="J50" s="30">
        <v>0.22</v>
      </c>
      <c r="K50" s="30">
        <v>0.18</v>
      </c>
      <c r="L50" s="30">
        <v>5</v>
      </c>
      <c r="M50" s="30" t="s">
        <v>508</v>
      </c>
      <c r="N50" s="30" t="s">
        <v>508</v>
      </c>
      <c r="O50" s="30" t="s">
        <v>508</v>
      </c>
      <c r="P50" s="5"/>
      <c r="Q50" s="5"/>
      <c r="R50" s="5"/>
      <c r="S50" s="5"/>
      <c r="T50" s="5"/>
      <c r="U50" s="5"/>
      <c r="V50" s="2"/>
      <c r="W50" s="2"/>
      <c r="X50" s="2"/>
      <c r="Y50" s="2"/>
      <c r="Z50" s="2"/>
      <c r="AA50" s="2"/>
      <c r="AB50" s="2"/>
      <c r="AC50" s="2"/>
      <c r="AD50" s="2"/>
    </row>
    <row r="51" spans="1:30" ht="12.75">
      <c r="A51" s="30" t="s">
        <v>186</v>
      </c>
      <c r="B51" s="30">
        <v>1400</v>
      </c>
      <c r="C51" s="30">
        <v>1027</v>
      </c>
      <c r="D51" s="49">
        <v>1.02</v>
      </c>
      <c r="E51" s="30">
        <v>24.9</v>
      </c>
      <c r="F51" s="30">
        <v>52.4</v>
      </c>
      <c r="G51" s="30">
        <v>49</v>
      </c>
      <c r="H51" s="30">
        <v>24</v>
      </c>
      <c r="I51" s="30">
        <v>7.48</v>
      </c>
      <c r="J51" s="30">
        <v>0.22</v>
      </c>
      <c r="K51" s="30">
        <v>0.18</v>
      </c>
      <c r="L51" s="30">
        <v>6</v>
      </c>
      <c r="M51" s="30" t="s">
        <v>508</v>
      </c>
      <c r="N51" s="30" t="s">
        <v>508</v>
      </c>
      <c r="O51" s="30" t="s">
        <v>508</v>
      </c>
      <c r="P51" s="5"/>
      <c r="Q51" s="5"/>
      <c r="R51" s="5"/>
      <c r="S51" s="5"/>
      <c r="T51" s="5"/>
      <c r="U51" s="5"/>
      <c r="V51" s="2"/>
      <c r="W51" s="2"/>
      <c r="X51" s="2"/>
      <c r="Y51" s="2"/>
      <c r="Z51" s="2"/>
      <c r="AA51" s="2"/>
      <c r="AB51" s="2"/>
      <c r="AC51" s="2"/>
      <c r="AD51" s="2"/>
    </row>
    <row r="52" spans="1:30" ht="12.75">
      <c r="A52" s="30" t="s">
        <v>186</v>
      </c>
      <c r="B52" s="30">
        <v>1400</v>
      </c>
      <c r="C52" s="30">
        <v>1058</v>
      </c>
      <c r="D52" s="49">
        <v>1.02</v>
      </c>
      <c r="E52" s="30">
        <v>25.8</v>
      </c>
      <c r="F52" s="30">
        <v>5.7</v>
      </c>
      <c r="G52" s="30">
        <v>51</v>
      </c>
      <c r="H52" s="30">
        <v>26</v>
      </c>
      <c r="I52" s="30">
        <v>7.81</v>
      </c>
      <c r="J52" s="30">
        <v>0.31</v>
      </c>
      <c r="K52" s="30">
        <v>0.23</v>
      </c>
      <c r="L52" s="30">
        <v>7</v>
      </c>
      <c r="M52" s="30" t="s">
        <v>508</v>
      </c>
      <c r="N52" s="30" t="s">
        <v>508</v>
      </c>
      <c r="O52" s="30" t="s">
        <v>508</v>
      </c>
      <c r="P52" s="5"/>
      <c r="Q52" s="5"/>
      <c r="R52" s="5"/>
      <c r="S52" s="5"/>
      <c r="T52" s="5"/>
      <c r="U52" s="5"/>
      <c r="V52" s="2"/>
      <c r="W52" s="2"/>
      <c r="X52" s="2"/>
      <c r="Y52" s="2"/>
      <c r="Z52" s="2"/>
      <c r="AA52" s="2"/>
      <c r="AB52" s="2"/>
      <c r="AC52" s="2"/>
      <c r="AD52" s="2"/>
    </row>
    <row r="53" spans="1:30" ht="12.75">
      <c r="A53" s="30" t="s">
        <v>186</v>
      </c>
      <c r="B53" s="30">
        <v>1400</v>
      </c>
      <c r="C53" s="30">
        <v>1089</v>
      </c>
      <c r="D53" s="49">
        <v>1.02</v>
      </c>
      <c r="E53" s="30">
        <v>26.6</v>
      </c>
      <c r="F53" s="30">
        <v>55.8</v>
      </c>
      <c r="G53" s="30">
        <v>55</v>
      </c>
      <c r="H53" s="30">
        <v>29</v>
      </c>
      <c r="I53" s="30">
        <v>8.38</v>
      </c>
      <c r="J53" s="30">
        <v>0.3</v>
      </c>
      <c r="K53" s="30">
        <v>0.22</v>
      </c>
      <c r="L53" s="30">
        <v>8</v>
      </c>
      <c r="M53" s="30" t="s">
        <v>508</v>
      </c>
      <c r="N53" s="30" t="s">
        <v>508</v>
      </c>
      <c r="O53" s="30" t="s">
        <v>508</v>
      </c>
      <c r="P53" s="5"/>
      <c r="Q53" s="5"/>
      <c r="R53" s="5"/>
      <c r="S53" s="5"/>
      <c r="T53" s="5"/>
      <c r="U53" s="5"/>
      <c r="V53" s="2"/>
      <c r="W53" s="2"/>
      <c r="X53" s="2"/>
      <c r="Y53" s="2"/>
      <c r="Z53" s="2"/>
      <c r="AA53" s="2"/>
      <c r="AB53" s="2"/>
      <c r="AC53" s="2"/>
      <c r="AD53" s="2"/>
    </row>
    <row r="54" spans="1:30" ht="13.5" thickBot="1">
      <c r="A54" s="50" t="s">
        <v>186</v>
      </c>
      <c r="B54" s="50">
        <v>1400</v>
      </c>
      <c r="C54" s="50">
        <v>1120</v>
      </c>
      <c r="D54" s="51">
        <v>1.02</v>
      </c>
      <c r="E54" s="50">
        <v>27.4</v>
      </c>
      <c r="F54" s="50">
        <v>59</v>
      </c>
      <c r="G54" s="50">
        <v>60</v>
      </c>
      <c r="H54" s="50">
        <v>34</v>
      </c>
      <c r="I54" s="50">
        <v>9.33</v>
      </c>
      <c r="J54" s="50">
        <v>0.3</v>
      </c>
      <c r="K54" s="50">
        <v>0.22</v>
      </c>
      <c r="L54" s="50">
        <v>9</v>
      </c>
      <c r="M54" s="50" t="s">
        <v>508</v>
      </c>
      <c r="N54" s="50" t="s">
        <v>508</v>
      </c>
      <c r="O54" s="50" t="s">
        <v>508</v>
      </c>
      <c r="P54" s="5"/>
      <c r="Q54" s="5"/>
      <c r="R54" s="5"/>
      <c r="S54" s="5"/>
      <c r="T54" s="5"/>
      <c r="U54" s="5"/>
      <c r="V54" s="2"/>
      <c r="W54" s="2"/>
      <c r="X54" s="2"/>
      <c r="Y54" s="2"/>
      <c r="Z54" s="2"/>
      <c r="AA54" s="2"/>
      <c r="AB54" s="2"/>
      <c r="AC54" s="2"/>
      <c r="AD54" s="2"/>
    </row>
    <row r="55" spans="1:30" ht="12.75">
      <c r="A55" s="30" t="s">
        <v>187</v>
      </c>
      <c r="B55" s="30">
        <v>1000</v>
      </c>
      <c r="C55" s="30" t="s">
        <v>508</v>
      </c>
      <c r="D55" s="30" t="s">
        <v>508</v>
      </c>
      <c r="E55" s="30">
        <v>21.6</v>
      </c>
      <c r="F55" s="30">
        <v>55.8</v>
      </c>
      <c r="G55" s="30">
        <v>55</v>
      </c>
      <c r="H55" s="30" t="s">
        <v>508</v>
      </c>
      <c r="I55" s="30">
        <v>8.7</v>
      </c>
      <c r="J55" s="30">
        <v>0.24</v>
      </c>
      <c r="K55" s="30">
        <v>0.17</v>
      </c>
      <c r="L55" s="30" t="s">
        <v>508</v>
      </c>
      <c r="M55" s="30">
        <v>1</v>
      </c>
      <c r="N55" s="30">
        <v>10</v>
      </c>
      <c r="O55" s="30">
        <v>8.3</v>
      </c>
      <c r="P55" s="5"/>
      <c r="Q55" s="5"/>
      <c r="R55" s="5"/>
      <c r="S55" s="5"/>
      <c r="T55" s="5"/>
      <c r="U55" s="5"/>
      <c r="V55" s="2"/>
      <c r="W55" s="2"/>
      <c r="X55" s="2"/>
      <c r="Y55" s="2"/>
      <c r="Z55" s="2"/>
      <c r="AA55" s="2"/>
      <c r="AB55" s="2"/>
      <c r="AC55" s="2"/>
      <c r="AD55" s="2"/>
    </row>
    <row r="56" spans="1:30" ht="12.75">
      <c r="A56" s="30" t="s">
        <v>187</v>
      </c>
      <c r="B56" s="30">
        <v>1000</v>
      </c>
      <c r="C56" s="30" t="s">
        <v>508</v>
      </c>
      <c r="D56" s="30" t="s">
        <v>508</v>
      </c>
      <c r="E56" s="30">
        <v>22.1</v>
      </c>
      <c r="F56" s="30">
        <v>56.6</v>
      </c>
      <c r="G56" s="30">
        <v>56</v>
      </c>
      <c r="H56" s="30" t="s">
        <v>508</v>
      </c>
      <c r="I56" s="30">
        <v>9.1</v>
      </c>
      <c r="J56" s="30">
        <v>0.25</v>
      </c>
      <c r="K56" s="30">
        <v>0.17</v>
      </c>
      <c r="L56" s="30" t="s">
        <v>508</v>
      </c>
      <c r="M56" s="30">
        <v>2</v>
      </c>
      <c r="N56" s="30">
        <v>10</v>
      </c>
      <c r="O56" s="30">
        <v>10</v>
      </c>
      <c r="P56" s="5"/>
      <c r="Q56" s="5"/>
      <c r="R56" s="5"/>
      <c r="S56" s="5"/>
      <c r="T56" s="5"/>
      <c r="U56" s="5"/>
      <c r="V56" s="2"/>
      <c r="W56" s="2"/>
      <c r="X56" s="2"/>
      <c r="Y56" s="2"/>
      <c r="Z56" s="2"/>
      <c r="AA56" s="2"/>
      <c r="AB56" s="2"/>
      <c r="AC56" s="2"/>
      <c r="AD56" s="2"/>
    </row>
    <row r="57" spans="1:30" ht="12.75">
      <c r="A57" s="30" t="s">
        <v>187</v>
      </c>
      <c r="B57" s="30">
        <v>1000</v>
      </c>
      <c r="C57" s="30" t="s">
        <v>508</v>
      </c>
      <c r="D57" s="30" t="s">
        <v>508</v>
      </c>
      <c r="E57" s="30">
        <v>23</v>
      </c>
      <c r="F57" s="30">
        <v>54.3</v>
      </c>
      <c r="G57" s="30">
        <v>52</v>
      </c>
      <c r="H57" s="30" t="s">
        <v>508</v>
      </c>
      <c r="I57" s="30">
        <v>8.41</v>
      </c>
      <c r="J57" s="30">
        <v>0.23</v>
      </c>
      <c r="K57" s="30">
        <v>0.16</v>
      </c>
      <c r="L57" s="30" t="s">
        <v>508</v>
      </c>
      <c r="M57" s="30">
        <v>3</v>
      </c>
      <c r="N57" s="30">
        <v>10</v>
      </c>
      <c r="O57" s="30">
        <v>9</v>
      </c>
      <c r="P57" s="5"/>
      <c r="Q57" s="5"/>
      <c r="R57" s="5"/>
      <c r="S57" s="5"/>
      <c r="T57" s="5"/>
      <c r="U57" s="5"/>
      <c r="V57" s="2"/>
      <c r="W57" s="2"/>
      <c r="X57" s="2"/>
      <c r="Y57" s="2"/>
      <c r="Z57" s="2"/>
      <c r="AA57" s="2"/>
      <c r="AB57" s="2"/>
      <c r="AC57" s="2"/>
      <c r="AD57" s="2"/>
    </row>
    <row r="58" spans="1:30" ht="12.75">
      <c r="A58" s="30" t="s">
        <v>187</v>
      </c>
      <c r="B58" s="30">
        <v>1000</v>
      </c>
      <c r="C58" s="30" t="s">
        <v>508</v>
      </c>
      <c r="D58" s="30" t="s">
        <v>508</v>
      </c>
      <c r="E58" s="30">
        <v>22.5</v>
      </c>
      <c r="F58" s="30">
        <v>53.4</v>
      </c>
      <c r="G58" s="30">
        <v>51</v>
      </c>
      <c r="H58" s="30" t="s">
        <v>508</v>
      </c>
      <c r="I58" s="30">
        <v>7.97</v>
      </c>
      <c r="J58" s="30">
        <v>0.22</v>
      </c>
      <c r="K58" s="30">
        <v>0.15</v>
      </c>
      <c r="L58" s="30">
        <v>1</v>
      </c>
      <c r="M58" s="30">
        <v>4</v>
      </c>
      <c r="N58" s="30">
        <v>10</v>
      </c>
      <c r="O58" s="30">
        <v>7.2</v>
      </c>
      <c r="P58" s="5"/>
      <c r="Q58" s="5"/>
      <c r="R58" s="5"/>
      <c r="S58" s="5"/>
      <c r="T58" s="5"/>
      <c r="U58" s="5"/>
      <c r="V58" s="2"/>
      <c r="W58" s="2"/>
      <c r="X58" s="2"/>
      <c r="Y58" s="2"/>
      <c r="Z58" s="2"/>
      <c r="AA58" s="2"/>
      <c r="AB58" s="2"/>
      <c r="AC58" s="2"/>
      <c r="AD58" s="2"/>
    </row>
    <row r="59" spans="1:30" ht="12.75">
      <c r="A59" s="30" t="s">
        <v>187</v>
      </c>
      <c r="B59" s="30">
        <v>1000</v>
      </c>
      <c r="C59" s="30" t="s">
        <v>508</v>
      </c>
      <c r="D59" s="30" t="s">
        <v>508</v>
      </c>
      <c r="E59" s="30">
        <v>22.1</v>
      </c>
      <c r="F59" s="30">
        <v>52.5</v>
      </c>
      <c r="G59" s="30">
        <v>49</v>
      </c>
      <c r="H59" s="30" t="s">
        <v>508</v>
      </c>
      <c r="I59" s="30">
        <v>7.51</v>
      </c>
      <c r="J59" s="30">
        <v>0.2</v>
      </c>
      <c r="K59" s="30">
        <v>0.14</v>
      </c>
      <c r="L59" s="30">
        <v>2</v>
      </c>
      <c r="M59" s="30">
        <v>5</v>
      </c>
      <c r="N59" s="30">
        <v>10</v>
      </c>
      <c r="O59" s="30">
        <v>5.4</v>
      </c>
      <c r="P59" s="5"/>
      <c r="Q59" s="5"/>
      <c r="R59" s="5"/>
      <c r="S59" s="5"/>
      <c r="T59" s="5"/>
      <c r="U59" s="5"/>
      <c r="V59" s="2"/>
      <c r="W59" s="2"/>
      <c r="X59" s="2"/>
      <c r="Y59" s="2"/>
      <c r="Z59" s="2"/>
      <c r="AA59" s="2"/>
      <c r="AB59" s="2"/>
      <c r="AC59" s="2"/>
      <c r="AD59" s="2"/>
    </row>
    <row r="60" spans="1:30" ht="12.75">
      <c r="A60" s="30" t="s">
        <v>187</v>
      </c>
      <c r="B60" s="30">
        <v>1000</v>
      </c>
      <c r="C60" s="30" t="s">
        <v>508</v>
      </c>
      <c r="D60" s="30" t="s">
        <v>508</v>
      </c>
      <c r="E60" s="30">
        <v>21.7</v>
      </c>
      <c r="F60" s="30">
        <v>51.8</v>
      </c>
      <c r="G60" s="30">
        <v>48</v>
      </c>
      <c r="H60" s="30" t="s">
        <v>508</v>
      </c>
      <c r="I60" s="30">
        <v>7.14</v>
      </c>
      <c r="J60" s="30">
        <v>0.19</v>
      </c>
      <c r="K60" s="30">
        <v>0.14</v>
      </c>
      <c r="L60" s="30">
        <v>3</v>
      </c>
      <c r="M60" s="30">
        <v>6</v>
      </c>
      <c r="N60" s="30">
        <v>10</v>
      </c>
      <c r="O60" s="30">
        <v>3.9</v>
      </c>
      <c r="P60" s="5"/>
      <c r="Q60" s="5"/>
      <c r="R60" s="5"/>
      <c r="S60" s="5"/>
      <c r="T60" s="5"/>
      <c r="U60" s="5"/>
      <c r="V60" s="2"/>
      <c r="W60" s="2"/>
      <c r="X60" s="2"/>
      <c r="Y60" s="2"/>
      <c r="Z60" s="2"/>
      <c r="AA60" s="2"/>
      <c r="AB60" s="2"/>
      <c r="AC60" s="2"/>
      <c r="AD60" s="2"/>
    </row>
    <row r="61" spans="1:30" ht="12.75">
      <c r="A61" s="30" t="s">
        <v>187</v>
      </c>
      <c r="B61" s="30">
        <v>1000</v>
      </c>
      <c r="C61" s="30" t="s">
        <v>508</v>
      </c>
      <c r="D61" s="30" t="s">
        <v>508</v>
      </c>
      <c r="E61" s="30">
        <v>21.1</v>
      </c>
      <c r="F61" s="30">
        <v>44.9</v>
      </c>
      <c r="G61" s="30">
        <v>37</v>
      </c>
      <c r="H61" s="30" t="s">
        <v>508</v>
      </c>
      <c r="I61" s="30">
        <v>5.98</v>
      </c>
      <c r="J61" s="30">
        <v>0.15</v>
      </c>
      <c r="K61" s="30">
        <v>0.11</v>
      </c>
      <c r="L61" s="30">
        <v>4</v>
      </c>
      <c r="M61" s="30">
        <v>7</v>
      </c>
      <c r="N61" s="30">
        <v>10</v>
      </c>
      <c r="O61" s="30">
        <v>0</v>
      </c>
      <c r="P61" s="5"/>
      <c r="Q61" s="5"/>
      <c r="R61" s="5"/>
      <c r="S61" s="5"/>
      <c r="T61" s="5"/>
      <c r="U61" s="5"/>
      <c r="V61" s="2"/>
      <c r="W61" s="2"/>
      <c r="X61" s="2"/>
      <c r="Y61" s="2"/>
      <c r="Z61" s="2"/>
      <c r="AA61" s="2"/>
      <c r="AB61" s="2"/>
      <c r="AC61" s="2"/>
      <c r="AD61" s="2"/>
    </row>
    <row r="62" spans="1:30" ht="12.75">
      <c r="A62" s="30" t="s">
        <v>187</v>
      </c>
      <c r="B62" s="30">
        <v>1000</v>
      </c>
      <c r="C62" s="30" t="s">
        <v>508</v>
      </c>
      <c r="D62" s="30" t="s">
        <v>508</v>
      </c>
      <c r="E62" s="30">
        <v>21</v>
      </c>
      <c r="F62" s="30">
        <v>45.7</v>
      </c>
      <c r="G62" s="30">
        <v>38</v>
      </c>
      <c r="H62" s="30" t="s">
        <v>508</v>
      </c>
      <c r="I62" s="30">
        <v>6.16</v>
      </c>
      <c r="J62" s="30">
        <v>0.15</v>
      </c>
      <c r="K62" s="30">
        <v>0.11</v>
      </c>
      <c r="L62" s="30">
        <v>5</v>
      </c>
      <c r="M62" s="30">
        <v>8</v>
      </c>
      <c r="N62" s="30">
        <v>10</v>
      </c>
      <c r="O62" s="30">
        <v>0</v>
      </c>
      <c r="P62" s="5"/>
      <c r="Q62" s="5"/>
      <c r="R62" s="5"/>
      <c r="S62" s="5"/>
      <c r="T62" s="5"/>
      <c r="U62" s="5"/>
      <c r="V62" s="2"/>
      <c r="W62" s="2"/>
      <c r="X62" s="2"/>
      <c r="Y62" s="2"/>
      <c r="Z62" s="2"/>
      <c r="AA62" s="2"/>
      <c r="AB62" s="2"/>
      <c r="AC62" s="2"/>
      <c r="AD62" s="2"/>
    </row>
    <row r="63" spans="1:30" ht="12.75">
      <c r="A63" s="30" t="s">
        <v>187</v>
      </c>
      <c r="B63" s="30">
        <v>1000</v>
      </c>
      <c r="C63" s="30" t="s">
        <v>508</v>
      </c>
      <c r="D63" s="30" t="s">
        <v>508</v>
      </c>
      <c r="E63" s="30">
        <v>20.9</v>
      </c>
      <c r="F63" s="30">
        <v>47</v>
      </c>
      <c r="G63" s="30">
        <v>40</v>
      </c>
      <c r="H63" s="30" t="s">
        <v>508</v>
      </c>
      <c r="I63" s="30">
        <v>6.47</v>
      </c>
      <c r="J63" s="30">
        <v>0.15</v>
      </c>
      <c r="K63" s="30">
        <v>0.11</v>
      </c>
      <c r="L63" s="30">
        <v>6</v>
      </c>
      <c r="M63" s="30">
        <v>9</v>
      </c>
      <c r="N63" s="30">
        <v>10</v>
      </c>
      <c r="O63" s="30">
        <v>0</v>
      </c>
      <c r="P63" s="5"/>
      <c r="Q63" s="5"/>
      <c r="R63" s="5"/>
      <c r="S63" s="5"/>
      <c r="T63" s="5"/>
      <c r="U63" s="5"/>
      <c r="V63" s="2"/>
      <c r="W63" s="2"/>
      <c r="X63" s="2"/>
      <c r="Y63" s="2"/>
      <c r="Z63" s="2"/>
      <c r="AA63" s="2"/>
      <c r="AB63" s="2"/>
      <c r="AC63" s="2"/>
      <c r="AD63" s="2"/>
    </row>
    <row r="64" spans="1:30" ht="12.75">
      <c r="A64" s="30" t="s">
        <v>187</v>
      </c>
      <c r="B64" s="30">
        <v>1000</v>
      </c>
      <c r="C64" s="30" t="s">
        <v>508</v>
      </c>
      <c r="D64" s="30" t="s">
        <v>508</v>
      </c>
      <c r="E64" s="30">
        <v>20.8</v>
      </c>
      <c r="F64" s="30">
        <v>49.1</v>
      </c>
      <c r="G64" s="30">
        <v>44</v>
      </c>
      <c r="H64" s="30" t="s">
        <v>508</v>
      </c>
      <c r="I64" s="30">
        <v>6.95</v>
      </c>
      <c r="J64" s="30">
        <v>0.24</v>
      </c>
      <c r="K64" s="30">
        <v>0.15</v>
      </c>
      <c r="L64" s="30">
        <v>7</v>
      </c>
      <c r="M64" s="30">
        <v>10</v>
      </c>
      <c r="N64" s="30">
        <v>10</v>
      </c>
      <c r="O64" s="30">
        <v>0</v>
      </c>
      <c r="P64" s="5"/>
      <c r="Q64" s="5"/>
      <c r="R64" s="5"/>
      <c r="S64" s="5"/>
      <c r="T64" s="5"/>
      <c r="U64" s="5"/>
      <c r="V64" s="2"/>
      <c r="W64" s="2"/>
      <c r="X64" s="2"/>
      <c r="Y64" s="2"/>
      <c r="Z64" s="2"/>
      <c r="AA64" s="2"/>
      <c r="AB64" s="2"/>
      <c r="AC64" s="2"/>
      <c r="AD64" s="2"/>
    </row>
    <row r="65" spans="1:30" ht="12.75">
      <c r="A65" s="30" t="s">
        <v>187</v>
      </c>
      <c r="B65" s="30">
        <v>1000</v>
      </c>
      <c r="C65" s="30" t="s">
        <v>508</v>
      </c>
      <c r="D65" s="30" t="s">
        <v>508</v>
      </c>
      <c r="E65" s="30">
        <v>21</v>
      </c>
      <c r="F65" s="30">
        <v>52</v>
      </c>
      <c r="G65" s="30">
        <v>49</v>
      </c>
      <c r="H65" s="30" t="s">
        <v>508</v>
      </c>
      <c r="I65" s="30">
        <v>7.66</v>
      </c>
      <c r="J65" s="30">
        <v>0.24</v>
      </c>
      <c r="K65" s="30">
        <v>0.15</v>
      </c>
      <c r="L65" s="30">
        <v>8</v>
      </c>
      <c r="M65" s="30">
        <v>11</v>
      </c>
      <c r="N65" s="30">
        <v>10</v>
      </c>
      <c r="O65" s="30">
        <v>0</v>
      </c>
      <c r="P65" s="5"/>
      <c r="Q65" s="5"/>
      <c r="R65" s="5"/>
      <c r="S65" s="5"/>
      <c r="T65" s="5"/>
      <c r="U65" s="5"/>
      <c r="V65" s="2"/>
      <c r="W65" s="2"/>
      <c r="X65" s="2"/>
      <c r="Y65" s="2"/>
      <c r="Z65" s="2"/>
      <c r="AA65" s="2"/>
      <c r="AB65" s="2"/>
      <c r="AC65" s="2"/>
      <c r="AD65" s="2"/>
    </row>
    <row r="66" spans="1:30" ht="13.5" thickBot="1">
      <c r="A66" s="50" t="s">
        <v>187</v>
      </c>
      <c r="B66" s="50">
        <v>1000</v>
      </c>
      <c r="C66" s="50" t="s">
        <v>508</v>
      </c>
      <c r="D66" s="50" t="s">
        <v>508</v>
      </c>
      <c r="E66" s="50">
        <v>21.4</v>
      </c>
      <c r="F66" s="50">
        <v>55.7</v>
      </c>
      <c r="G66" s="50">
        <v>54</v>
      </c>
      <c r="H66" s="50" t="s">
        <v>508</v>
      </c>
      <c r="I66" s="50">
        <v>8.67</v>
      </c>
      <c r="J66" s="50">
        <v>0.24</v>
      </c>
      <c r="K66" s="50">
        <v>0.15</v>
      </c>
      <c r="L66" s="50">
        <v>9</v>
      </c>
      <c r="M66" s="50">
        <v>12</v>
      </c>
      <c r="N66" s="50">
        <v>10</v>
      </c>
      <c r="O66" s="50">
        <v>0</v>
      </c>
      <c r="P66" s="5"/>
      <c r="Q66" s="5"/>
      <c r="R66" s="5"/>
      <c r="S66" s="5"/>
      <c r="T66" s="5"/>
      <c r="U66" s="5"/>
      <c r="V66" s="2"/>
      <c r="W66" s="2"/>
      <c r="X66" s="2"/>
      <c r="Y66" s="2"/>
      <c r="Z66" s="2"/>
      <c r="AA66" s="2"/>
      <c r="AB66" s="2"/>
      <c r="AC66" s="2"/>
      <c r="AD66" s="2"/>
    </row>
    <row r="67" spans="1:30" ht="12.75">
      <c r="A67" s="30" t="s">
        <v>187</v>
      </c>
      <c r="B67" s="30">
        <v>1000</v>
      </c>
      <c r="C67" s="30" t="s">
        <v>508</v>
      </c>
      <c r="D67" s="30" t="s">
        <v>508</v>
      </c>
      <c r="E67" s="30">
        <v>24</v>
      </c>
      <c r="F67" s="30">
        <v>59.6</v>
      </c>
      <c r="G67" s="30">
        <v>60</v>
      </c>
      <c r="H67" s="30" t="s">
        <v>508</v>
      </c>
      <c r="I67" s="30">
        <v>10.54</v>
      </c>
      <c r="J67" s="30">
        <v>0.3</v>
      </c>
      <c r="K67" s="30">
        <v>0.2</v>
      </c>
      <c r="L67" s="30" t="s">
        <v>508</v>
      </c>
      <c r="M67" s="49">
        <v>1</v>
      </c>
      <c r="N67" s="30">
        <v>20</v>
      </c>
      <c r="O67" s="30">
        <v>16.7</v>
      </c>
      <c r="P67" s="5"/>
      <c r="Q67" s="5"/>
      <c r="R67" s="5"/>
      <c r="S67" s="5"/>
      <c r="T67" s="5"/>
      <c r="U67" s="5"/>
      <c r="V67" s="2"/>
      <c r="W67" s="2"/>
      <c r="X67" s="2"/>
      <c r="Y67" s="2"/>
      <c r="Z67" s="2"/>
      <c r="AA67" s="2"/>
      <c r="AB67" s="2"/>
      <c r="AC67" s="2"/>
      <c r="AD67" s="2"/>
    </row>
    <row r="68" spans="1:30" ht="12.75">
      <c r="A68" s="30" t="s">
        <v>187</v>
      </c>
      <c r="B68" s="30">
        <v>1000</v>
      </c>
      <c r="C68" s="30" t="s">
        <v>508</v>
      </c>
      <c r="D68" s="30" t="s">
        <v>508</v>
      </c>
      <c r="E68" s="30">
        <v>25</v>
      </c>
      <c r="F68" s="30">
        <v>60.9</v>
      </c>
      <c r="G68" s="30">
        <v>62</v>
      </c>
      <c r="H68" s="30" t="s">
        <v>508</v>
      </c>
      <c r="I68" s="30">
        <v>11.18</v>
      </c>
      <c r="J68" s="30">
        <v>0.32</v>
      </c>
      <c r="K68" s="30">
        <v>0.21</v>
      </c>
      <c r="L68" s="30" t="s">
        <v>508</v>
      </c>
      <c r="M68" s="49">
        <v>2</v>
      </c>
      <c r="N68" s="30">
        <v>20</v>
      </c>
      <c r="O68" s="30">
        <v>20</v>
      </c>
      <c r="P68" s="5"/>
      <c r="Q68" s="5"/>
      <c r="R68" s="5"/>
      <c r="S68" s="5"/>
      <c r="T68" s="5"/>
      <c r="U68" s="5"/>
      <c r="V68" s="2"/>
      <c r="W68" s="2"/>
      <c r="X68" s="2"/>
      <c r="Y68" s="2"/>
      <c r="Z68" s="2"/>
      <c r="AA68" s="2"/>
      <c r="AB68" s="2"/>
      <c r="AC68" s="2"/>
      <c r="AD68" s="2"/>
    </row>
    <row r="69" spans="1:30" ht="12.75">
      <c r="A69" s="30" t="s">
        <v>187</v>
      </c>
      <c r="B69" s="30">
        <v>1000</v>
      </c>
      <c r="C69" s="30" t="s">
        <v>508</v>
      </c>
      <c r="D69" s="30" t="s">
        <v>508</v>
      </c>
      <c r="E69" s="30">
        <v>25.4</v>
      </c>
      <c r="F69" s="30">
        <v>58.6</v>
      </c>
      <c r="G69" s="30">
        <v>59</v>
      </c>
      <c r="H69" s="30" t="s">
        <v>508</v>
      </c>
      <c r="I69" s="30">
        <v>10.38</v>
      </c>
      <c r="J69" s="30">
        <v>0.3</v>
      </c>
      <c r="K69" s="30">
        <v>0.19</v>
      </c>
      <c r="L69" s="30" t="s">
        <v>508</v>
      </c>
      <c r="M69" s="49">
        <v>3</v>
      </c>
      <c r="N69" s="30">
        <v>20</v>
      </c>
      <c r="O69" s="30">
        <v>18</v>
      </c>
      <c r="P69" s="5"/>
      <c r="Q69" s="5"/>
      <c r="R69" s="5"/>
      <c r="S69" s="5"/>
      <c r="T69" s="5"/>
      <c r="U69" s="5"/>
      <c r="V69" s="2"/>
      <c r="W69" s="2"/>
      <c r="X69" s="2"/>
      <c r="Y69" s="2"/>
      <c r="Z69" s="2"/>
      <c r="AA69" s="2"/>
      <c r="AB69" s="2"/>
      <c r="AC69" s="2"/>
      <c r="AD69" s="2"/>
    </row>
    <row r="70" spans="1:30" ht="12.75">
      <c r="A70" s="30" t="s">
        <v>187</v>
      </c>
      <c r="B70" s="30">
        <v>1000</v>
      </c>
      <c r="C70" s="30" t="s">
        <v>508</v>
      </c>
      <c r="D70" s="30" t="s">
        <v>508</v>
      </c>
      <c r="E70" s="30">
        <v>24.4</v>
      </c>
      <c r="F70" s="30">
        <v>57</v>
      </c>
      <c r="G70" s="30">
        <v>56</v>
      </c>
      <c r="H70" s="30" t="s">
        <v>508</v>
      </c>
      <c r="I70" s="30">
        <v>9.65</v>
      </c>
      <c r="J70" s="30">
        <v>0.27</v>
      </c>
      <c r="K70" s="30">
        <v>0.18</v>
      </c>
      <c r="L70" s="30">
        <v>1</v>
      </c>
      <c r="M70" s="49">
        <v>4</v>
      </c>
      <c r="N70" s="30">
        <v>20</v>
      </c>
      <c r="O70" s="30">
        <v>14.4</v>
      </c>
      <c r="P70" s="5"/>
      <c r="Q70" s="5"/>
      <c r="R70" s="5"/>
      <c r="S70" s="5"/>
      <c r="T70" s="5"/>
      <c r="U70" s="5"/>
      <c r="V70" s="2"/>
      <c r="W70" s="2"/>
      <c r="X70" s="2"/>
      <c r="Y70" s="2"/>
      <c r="Z70" s="2"/>
      <c r="AA70" s="2"/>
      <c r="AB70" s="2"/>
      <c r="AC70" s="2"/>
      <c r="AD70" s="2"/>
    </row>
    <row r="71" spans="1:30" ht="12.75">
      <c r="A71" s="30" t="s">
        <v>187</v>
      </c>
      <c r="B71" s="30">
        <v>1000</v>
      </c>
      <c r="C71" s="30" t="s">
        <v>508</v>
      </c>
      <c r="D71" s="30" t="s">
        <v>508</v>
      </c>
      <c r="E71" s="30">
        <v>23.5</v>
      </c>
      <c r="F71" s="30">
        <v>55.4</v>
      </c>
      <c r="G71" s="30">
        <v>54</v>
      </c>
      <c r="H71" s="30" t="s">
        <v>508</v>
      </c>
      <c r="I71" s="30">
        <v>8.86</v>
      </c>
      <c r="J71" s="30">
        <v>0.24</v>
      </c>
      <c r="K71" s="30">
        <v>0.17</v>
      </c>
      <c r="L71" s="30">
        <v>2</v>
      </c>
      <c r="M71" s="49">
        <v>5</v>
      </c>
      <c r="N71" s="30">
        <v>20</v>
      </c>
      <c r="O71" s="30">
        <v>10.8</v>
      </c>
      <c r="P71" s="5"/>
      <c r="Q71" s="5"/>
      <c r="R71" s="5"/>
      <c r="S71" s="5"/>
      <c r="T71" s="5"/>
      <c r="U71" s="5"/>
      <c r="V71" s="2"/>
      <c r="W71" s="2"/>
      <c r="X71" s="2"/>
      <c r="Y71" s="2"/>
      <c r="Z71" s="2"/>
      <c r="AA71" s="2"/>
      <c r="AB71" s="2"/>
      <c r="AC71" s="2"/>
      <c r="AD71" s="2"/>
    </row>
    <row r="72" spans="1:30" ht="12.75">
      <c r="A72" s="30" t="s">
        <v>187</v>
      </c>
      <c r="B72" s="30">
        <v>1000</v>
      </c>
      <c r="C72" s="30" t="s">
        <v>508</v>
      </c>
      <c r="D72" s="30" t="s">
        <v>508</v>
      </c>
      <c r="E72" s="30">
        <v>22.7</v>
      </c>
      <c r="F72" s="30">
        <v>54</v>
      </c>
      <c r="G72" s="30">
        <v>52</v>
      </c>
      <c r="H72" s="30" t="s">
        <v>508</v>
      </c>
      <c r="I72" s="30">
        <v>8.17</v>
      </c>
      <c r="J72" s="30">
        <v>0.22</v>
      </c>
      <c r="K72" s="30">
        <v>0.15</v>
      </c>
      <c r="L72" s="30">
        <v>3</v>
      </c>
      <c r="M72" s="49">
        <v>6</v>
      </c>
      <c r="N72" s="30">
        <v>20</v>
      </c>
      <c r="O72" s="30">
        <v>7.8</v>
      </c>
      <c r="P72" s="5"/>
      <c r="Q72" s="5"/>
      <c r="R72" s="5"/>
      <c r="S72" s="5"/>
      <c r="T72" s="5"/>
      <c r="U72" s="5"/>
      <c r="V72" s="2"/>
      <c r="W72" s="2"/>
      <c r="X72" s="2"/>
      <c r="Y72" s="2"/>
      <c r="Z72" s="2"/>
      <c r="AA72" s="2"/>
      <c r="AB72" s="2"/>
      <c r="AC72" s="2"/>
      <c r="AD72" s="2"/>
    </row>
    <row r="73" spans="1:30" ht="12.75">
      <c r="A73" s="30" t="s">
        <v>187</v>
      </c>
      <c r="B73" s="30">
        <v>1000</v>
      </c>
      <c r="C73" s="30" t="s">
        <v>508</v>
      </c>
      <c r="D73" s="30" t="s">
        <v>508</v>
      </c>
      <c r="E73" s="30">
        <v>21.1</v>
      </c>
      <c r="F73" s="30">
        <v>44.9</v>
      </c>
      <c r="G73" s="30">
        <v>37</v>
      </c>
      <c r="H73" s="30" t="s">
        <v>508</v>
      </c>
      <c r="I73" s="30">
        <v>5.98</v>
      </c>
      <c r="J73" s="30">
        <v>0.15</v>
      </c>
      <c r="K73" s="30">
        <v>0.11</v>
      </c>
      <c r="L73" s="30">
        <v>4</v>
      </c>
      <c r="M73" s="49">
        <v>7</v>
      </c>
      <c r="N73" s="30">
        <v>20</v>
      </c>
      <c r="O73" s="30">
        <v>0</v>
      </c>
      <c r="P73" s="5"/>
      <c r="Q73" s="5"/>
      <c r="R73" s="5"/>
      <c r="S73" s="5"/>
      <c r="T73" s="5"/>
      <c r="U73" s="5"/>
      <c r="V73" s="2"/>
      <c r="W73" s="2"/>
      <c r="X73" s="2"/>
      <c r="Y73" s="2"/>
      <c r="Z73" s="2"/>
      <c r="AA73" s="2"/>
      <c r="AB73" s="2"/>
      <c r="AC73" s="2"/>
      <c r="AD73" s="2"/>
    </row>
    <row r="74" spans="1:30" ht="12.75">
      <c r="A74" s="30" t="s">
        <v>187</v>
      </c>
      <c r="B74" s="30">
        <v>1000</v>
      </c>
      <c r="C74" s="30" t="s">
        <v>508</v>
      </c>
      <c r="D74" s="30" t="s">
        <v>508</v>
      </c>
      <c r="E74" s="30">
        <v>21</v>
      </c>
      <c r="F74" s="30">
        <v>45.7</v>
      </c>
      <c r="G74" s="30">
        <v>38</v>
      </c>
      <c r="H74" s="30" t="s">
        <v>508</v>
      </c>
      <c r="I74" s="30">
        <v>6.16</v>
      </c>
      <c r="J74" s="30">
        <v>0.15</v>
      </c>
      <c r="K74" s="30">
        <v>0.11</v>
      </c>
      <c r="L74" s="30">
        <v>5</v>
      </c>
      <c r="M74" s="49">
        <v>8</v>
      </c>
      <c r="N74" s="30">
        <v>20</v>
      </c>
      <c r="O74" s="30">
        <v>0</v>
      </c>
      <c r="P74" s="5"/>
      <c r="Q74" s="5"/>
      <c r="R74" s="5"/>
      <c r="S74" s="5"/>
      <c r="T74" s="5"/>
      <c r="U74" s="5"/>
      <c r="V74" s="2"/>
      <c r="W74" s="2"/>
      <c r="X74" s="2"/>
      <c r="Y74" s="2"/>
      <c r="Z74" s="2"/>
      <c r="AA74" s="2"/>
      <c r="AB74" s="2"/>
      <c r="AC74" s="2"/>
      <c r="AD74" s="2"/>
    </row>
    <row r="75" spans="1:30" ht="12.75">
      <c r="A75" s="30" t="s">
        <v>187</v>
      </c>
      <c r="B75" s="30">
        <v>1000</v>
      </c>
      <c r="C75" s="30" t="s">
        <v>508</v>
      </c>
      <c r="D75" s="30" t="s">
        <v>508</v>
      </c>
      <c r="E75" s="30">
        <v>20.9</v>
      </c>
      <c r="F75" s="30">
        <v>47</v>
      </c>
      <c r="G75" s="30">
        <v>40</v>
      </c>
      <c r="H75" s="30" t="s">
        <v>508</v>
      </c>
      <c r="I75" s="30">
        <v>6.47</v>
      </c>
      <c r="J75" s="30">
        <v>0.15</v>
      </c>
      <c r="K75" s="30">
        <v>0.11</v>
      </c>
      <c r="L75" s="30">
        <v>6</v>
      </c>
      <c r="M75" s="49">
        <v>9</v>
      </c>
      <c r="N75" s="30">
        <v>20</v>
      </c>
      <c r="O75" s="30">
        <v>0</v>
      </c>
      <c r="P75" s="5"/>
      <c r="Q75" s="5"/>
      <c r="R75" s="5"/>
      <c r="S75" s="5"/>
      <c r="T75" s="5"/>
      <c r="U75" s="5"/>
      <c r="V75" s="2"/>
      <c r="W75" s="2"/>
      <c r="X75" s="2"/>
      <c r="Y75" s="2"/>
      <c r="Z75" s="2"/>
      <c r="AA75" s="2"/>
      <c r="AB75" s="2"/>
      <c r="AC75" s="2"/>
      <c r="AD75" s="2"/>
    </row>
    <row r="76" spans="1:30" ht="12.75">
      <c r="A76" s="30" t="s">
        <v>187</v>
      </c>
      <c r="B76" s="30">
        <v>1000</v>
      </c>
      <c r="C76" s="30" t="s">
        <v>508</v>
      </c>
      <c r="D76" s="30" t="s">
        <v>508</v>
      </c>
      <c r="E76" s="30">
        <v>20.8</v>
      </c>
      <c r="F76" s="30">
        <v>49.1</v>
      </c>
      <c r="G76" s="30">
        <v>44</v>
      </c>
      <c r="H76" s="30" t="s">
        <v>508</v>
      </c>
      <c r="I76" s="30">
        <v>6.95</v>
      </c>
      <c r="J76" s="30">
        <v>0.24</v>
      </c>
      <c r="K76" s="30">
        <v>0.15</v>
      </c>
      <c r="L76" s="30">
        <v>7</v>
      </c>
      <c r="M76" s="49">
        <v>10</v>
      </c>
      <c r="N76" s="30">
        <v>20</v>
      </c>
      <c r="O76" s="30">
        <v>0</v>
      </c>
      <c r="P76" s="5"/>
      <c r="Q76" s="5"/>
      <c r="R76" s="5"/>
      <c r="S76" s="5"/>
      <c r="T76" s="5"/>
      <c r="U76" s="5"/>
      <c r="V76" s="2"/>
      <c r="W76" s="2"/>
      <c r="X76" s="2"/>
      <c r="Y76" s="2"/>
      <c r="Z76" s="2"/>
      <c r="AA76" s="2"/>
      <c r="AB76" s="2"/>
      <c r="AC76" s="2"/>
      <c r="AD76" s="2"/>
    </row>
    <row r="77" spans="1:30" ht="12.75">
      <c r="A77" s="30" t="s">
        <v>187</v>
      </c>
      <c r="B77" s="30">
        <v>1000</v>
      </c>
      <c r="C77" s="30" t="s">
        <v>508</v>
      </c>
      <c r="D77" s="30" t="s">
        <v>508</v>
      </c>
      <c r="E77" s="31">
        <v>21</v>
      </c>
      <c r="F77" s="31">
        <v>52</v>
      </c>
      <c r="G77" s="31">
        <v>49</v>
      </c>
      <c r="H77" s="30" t="s">
        <v>508</v>
      </c>
      <c r="I77" s="31">
        <v>7.66</v>
      </c>
      <c r="J77" s="31">
        <v>0.24</v>
      </c>
      <c r="K77" s="31">
        <v>0.15</v>
      </c>
      <c r="L77" s="30">
        <v>8</v>
      </c>
      <c r="M77" s="52">
        <v>11</v>
      </c>
      <c r="N77" s="31">
        <v>20</v>
      </c>
      <c r="O77" s="31">
        <v>0</v>
      </c>
      <c r="P77" s="5"/>
      <c r="Q77" s="5"/>
      <c r="R77" s="5"/>
      <c r="S77" s="5"/>
      <c r="T77" s="5"/>
      <c r="U77" s="5"/>
      <c r="V77" s="2"/>
      <c r="W77" s="2"/>
      <c r="X77" s="2"/>
      <c r="Y77" s="2"/>
      <c r="Z77" s="2"/>
      <c r="AA77" s="2"/>
      <c r="AB77" s="2"/>
      <c r="AC77" s="2"/>
      <c r="AD77" s="2"/>
    </row>
    <row r="78" spans="1:30" ht="13.5" thickBot="1">
      <c r="A78" s="50" t="s">
        <v>187</v>
      </c>
      <c r="B78" s="50">
        <v>1000</v>
      </c>
      <c r="C78" s="50" t="s">
        <v>508</v>
      </c>
      <c r="D78" s="50" t="s">
        <v>508</v>
      </c>
      <c r="E78" s="50">
        <v>21.4</v>
      </c>
      <c r="F78" s="50">
        <v>55.7</v>
      </c>
      <c r="G78" s="50">
        <v>54</v>
      </c>
      <c r="H78" s="50" t="s">
        <v>508</v>
      </c>
      <c r="I78" s="50">
        <v>8.67</v>
      </c>
      <c r="J78" s="50">
        <v>0.24</v>
      </c>
      <c r="K78" s="50">
        <v>0.15</v>
      </c>
      <c r="L78" s="50">
        <v>9</v>
      </c>
      <c r="M78" s="51">
        <v>12</v>
      </c>
      <c r="N78" s="50">
        <v>20</v>
      </c>
      <c r="O78" s="50">
        <v>0</v>
      </c>
      <c r="P78" s="5"/>
      <c r="Q78" s="5"/>
      <c r="R78" s="5"/>
      <c r="S78" s="5"/>
      <c r="T78" s="5"/>
      <c r="U78" s="5"/>
      <c r="V78" s="2"/>
      <c r="W78" s="2"/>
      <c r="X78" s="2"/>
      <c r="Y78" s="2"/>
      <c r="Z78" s="2"/>
      <c r="AA78" s="2"/>
      <c r="AB78" s="2"/>
      <c r="AC78" s="2"/>
      <c r="AD78" s="2"/>
    </row>
    <row r="79" spans="1:30" ht="12.75">
      <c r="A79" s="30" t="s">
        <v>187</v>
      </c>
      <c r="B79" s="30">
        <v>1000</v>
      </c>
      <c r="C79" s="30" t="s">
        <v>508</v>
      </c>
      <c r="D79" s="30" t="s">
        <v>508</v>
      </c>
      <c r="E79" s="30">
        <v>26.4</v>
      </c>
      <c r="F79" s="30">
        <v>62.8</v>
      </c>
      <c r="G79" s="30">
        <v>65</v>
      </c>
      <c r="H79" s="30" t="s">
        <v>508</v>
      </c>
      <c r="I79" s="30">
        <v>12.06</v>
      </c>
      <c r="J79" s="30">
        <v>0.35</v>
      </c>
      <c r="K79" s="30">
        <v>0.22</v>
      </c>
      <c r="L79" s="30" t="s">
        <v>508</v>
      </c>
      <c r="M79" s="49">
        <v>1</v>
      </c>
      <c r="N79" s="30">
        <v>30</v>
      </c>
      <c r="O79" s="30">
        <v>25</v>
      </c>
      <c r="P79" s="5"/>
      <c r="Q79" s="5"/>
      <c r="R79" s="5"/>
      <c r="S79" s="5"/>
      <c r="T79" s="5"/>
      <c r="U79" s="5"/>
      <c r="V79" s="2"/>
      <c r="W79" s="2"/>
      <c r="X79" s="2"/>
      <c r="Y79" s="2"/>
      <c r="Z79" s="2"/>
      <c r="AA79" s="2"/>
      <c r="AB79" s="2"/>
      <c r="AC79" s="2"/>
      <c r="AD79" s="2"/>
    </row>
    <row r="80" spans="1:30" ht="12.75">
      <c r="A80" s="30" t="s">
        <v>187</v>
      </c>
      <c r="B80" s="30">
        <v>1000</v>
      </c>
      <c r="C80" s="30" t="s">
        <v>508</v>
      </c>
      <c r="D80" s="30" t="s">
        <v>508</v>
      </c>
      <c r="E80" s="30">
        <v>27.8</v>
      </c>
      <c r="F80" s="30">
        <v>64.5</v>
      </c>
      <c r="G80" s="30">
        <v>68</v>
      </c>
      <c r="H80" s="30" t="s">
        <v>508</v>
      </c>
      <c r="I80" s="30">
        <v>12.86</v>
      </c>
      <c r="J80" s="30">
        <v>0.38</v>
      </c>
      <c r="K80" s="30">
        <v>0.24</v>
      </c>
      <c r="L80" s="30" t="s">
        <v>508</v>
      </c>
      <c r="M80" s="49">
        <v>2</v>
      </c>
      <c r="N80" s="30">
        <v>30</v>
      </c>
      <c r="O80" s="30">
        <v>30</v>
      </c>
      <c r="P80" s="5"/>
      <c r="Q80" s="5"/>
      <c r="R80" s="5"/>
      <c r="S80" s="5"/>
      <c r="T80" s="5"/>
      <c r="U80" s="5"/>
      <c r="V80" s="2"/>
      <c r="W80" s="2"/>
      <c r="X80" s="2"/>
      <c r="Y80" s="2"/>
      <c r="Z80" s="2"/>
      <c r="AA80" s="2"/>
      <c r="AB80" s="2"/>
      <c r="AC80" s="2"/>
      <c r="AD80" s="2"/>
    </row>
    <row r="81" spans="1:30" ht="12.75">
      <c r="A81" s="30" t="s">
        <v>187</v>
      </c>
      <c r="B81" s="30">
        <v>1000</v>
      </c>
      <c r="C81" s="30" t="s">
        <v>508</v>
      </c>
      <c r="D81" s="30" t="s">
        <v>508</v>
      </c>
      <c r="E81" s="30">
        <v>27.8</v>
      </c>
      <c r="F81" s="30">
        <v>62.1</v>
      </c>
      <c r="G81" s="30">
        <v>64</v>
      </c>
      <c r="H81" s="30" t="s">
        <v>508</v>
      </c>
      <c r="I81" s="30">
        <v>12</v>
      </c>
      <c r="J81" s="30">
        <v>0.35</v>
      </c>
      <c r="K81" s="30">
        <v>0.22</v>
      </c>
      <c r="L81" s="30" t="s">
        <v>508</v>
      </c>
      <c r="M81" s="49">
        <v>3</v>
      </c>
      <c r="N81" s="30">
        <v>30</v>
      </c>
      <c r="O81" s="30">
        <v>27</v>
      </c>
      <c r="P81" s="5"/>
      <c r="Q81" s="5"/>
      <c r="R81" s="5"/>
      <c r="S81" s="5"/>
      <c r="T81" s="5"/>
      <c r="U81" s="5"/>
      <c r="V81" s="2"/>
      <c r="W81" s="2"/>
      <c r="X81" s="2"/>
      <c r="Y81" s="2"/>
      <c r="Z81" s="2"/>
      <c r="AA81" s="2"/>
      <c r="AB81" s="2"/>
      <c r="AC81" s="2"/>
      <c r="AD81" s="2"/>
    </row>
    <row r="82" spans="1:30" ht="12.75">
      <c r="A82" s="30" t="s">
        <v>187</v>
      </c>
      <c r="B82" s="30">
        <v>1000</v>
      </c>
      <c r="C82" s="30" t="s">
        <v>508</v>
      </c>
      <c r="D82" s="30" t="s">
        <v>508</v>
      </c>
      <c r="E82" s="30">
        <v>26.4</v>
      </c>
      <c r="F82" s="30">
        <v>60.1</v>
      </c>
      <c r="G82" s="30">
        <v>61</v>
      </c>
      <c r="H82" s="30" t="s">
        <v>508</v>
      </c>
      <c r="I82" s="30">
        <v>11.07</v>
      </c>
      <c r="J82" s="30">
        <v>0.32</v>
      </c>
      <c r="K82" s="30">
        <v>0.21</v>
      </c>
      <c r="L82" s="30">
        <v>1</v>
      </c>
      <c r="M82" s="49">
        <v>4</v>
      </c>
      <c r="N82" s="30">
        <v>30</v>
      </c>
      <c r="O82" s="30">
        <v>21.6</v>
      </c>
      <c r="P82" s="5"/>
      <c r="Q82" s="5"/>
      <c r="R82" s="5"/>
      <c r="S82" s="5"/>
      <c r="T82" s="5"/>
      <c r="U82" s="5"/>
      <c r="V82" s="2"/>
      <c r="W82" s="2"/>
      <c r="X82" s="2"/>
      <c r="Y82" s="2"/>
      <c r="Z82" s="2"/>
      <c r="AA82" s="2"/>
      <c r="AB82" s="2"/>
      <c r="AC82" s="2"/>
      <c r="AD82" s="2"/>
    </row>
    <row r="83" spans="1:30" ht="12.75">
      <c r="A83" s="30" t="s">
        <v>187</v>
      </c>
      <c r="B83" s="30">
        <v>1000</v>
      </c>
      <c r="C83" s="30" t="s">
        <v>508</v>
      </c>
      <c r="D83" s="30" t="s">
        <v>508</v>
      </c>
      <c r="E83" s="30">
        <v>24.9</v>
      </c>
      <c r="F83" s="30">
        <v>57.9</v>
      </c>
      <c r="G83" s="30">
        <v>58</v>
      </c>
      <c r="H83" s="30" t="s">
        <v>508</v>
      </c>
      <c r="I83" s="30">
        <v>10.04</v>
      </c>
      <c r="J83" s="30">
        <v>0.28</v>
      </c>
      <c r="K83" s="30">
        <v>0.19</v>
      </c>
      <c r="L83" s="30">
        <v>2</v>
      </c>
      <c r="M83" s="49">
        <v>5</v>
      </c>
      <c r="N83" s="30">
        <v>30</v>
      </c>
      <c r="O83" s="30">
        <v>16.2</v>
      </c>
      <c r="P83" s="5"/>
      <c r="Q83" s="5"/>
      <c r="R83" s="5"/>
      <c r="S83" s="5"/>
      <c r="T83" s="5"/>
      <c r="U83" s="5"/>
      <c r="V83" s="2"/>
      <c r="W83" s="2"/>
      <c r="X83" s="2"/>
      <c r="Y83" s="2"/>
      <c r="Z83" s="2"/>
      <c r="AA83" s="2"/>
      <c r="AB83" s="2"/>
      <c r="AC83" s="2"/>
      <c r="AD83" s="2"/>
    </row>
    <row r="84" spans="1:30" ht="12.75">
      <c r="A84" s="30" t="s">
        <v>187</v>
      </c>
      <c r="B84" s="30">
        <v>1000</v>
      </c>
      <c r="C84" s="30" t="s">
        <v>508</v>
      </c>
      <c r="D84" s="30" t="s">
        <v>508</v>
      </c>
      <c r="E84" s="30">
        <v>23.7</v>
      </c>
      <c r="F84" s="30">
        <v>55.9</v>
      </c>
      <c r="G84" s="30">
        <v>55</v>
      </c>
      <c r="H84" s="30" t="s">
        <v>508</v>
      </c>
      <c r="I84" s="30">
        <v>9.09</v>
      </c>
      <c r="J84" s="30">
        <v>0.25</v>
      </c>
      <c r="K84" s="30">
        <v>0.17</v>
      </c>
      <c r="L84" s="30">
        <v>3</v>
      </c>
      <c r="M84" s="49">
        <v>6</v>
      </c>
      <c r="N84" s="30">
        <v>30</v>
      </c>
      <c r="O84" s="30">
        <v>11.7</v>
      </c>
      <c r="P84" s="5"/>
      <c r="Q84" s="5"/>
      <c r="R84" s="5"/>
      <c r="S84" s="5"/>
      <c r="T84" s="5"/>
      <c r="U84" s="5"/>
      <c r="V84" s="2"/>
      <c r="W84" s="2"/>
      <c r="X84" s="2"/>
      <c r="Y84" s="2"/>
      <c r="Z84" s="2"/>
      <c r="AA84" s="2"/>
      <c r="AB84" s="2"/>
      <c r="AC84" s="2"/>
      <c r="AD84" s="2"/>
    </row>
    <row r="85" spans="1:30" ht="12.75">
      <c r="A85" s="30" t="s">
        <v>187</v>
      </c>
      <c r="B85" s="30">
        <v>1000</v>
      </c>
      <c r="C85" s="30" t="s">
        <v>508</v>
      </c>
      <c r="D85" s="30" t="s">
        <v>508</v>
      </c>
      <c r="E85" s="30">
        <v>21.1</v>
      </c>
      <c r="F85" s="30">
        <v>44.9</v>
      </c>
      <c r="G85" s="30">
        <v>37</v>
      </c>
      <c r="H85" s="30" t="s">
        <v>508</v>
      </c>
      <c r="I85" s="30">
        <v>5.98</v>
      </c>
      <c r="J85" s="30">
        <v>0.15</v>
      </c>
      <c r="K85" s="30">
        <v>0.11</v>
      </c>
      <c r="L85" s="30">
        <v>4</v>
      </c>
      <c r="M85" s="49">
        <v>7</v>
      </c>
      <c r="N85" s="30">
        <v>30</v>
      </c>
      <c r="O85" s="30">
        <v>0</v>
      </c>
      <c r="P85" s="5"/>
      <c r="Q85" s="5"/>
      <c r="R85" s="5"/>
      <c r="S85" s="5"/>
      <c r="T85" s="5"/>
      <c r="U85" s="5"/>
      <c r="V85" s="2"/>
      <c r="W85" s="2"/>
      <c r="X85" s="2"/>
      <c r="Y85" s="2"/>
      <c r="Z85" s="2"/>
      <c r="AA85" s="2"/>
      <c r="AB85" s="2"/>
      <c r="AC85" s="2"/>
      <c r="AD85" s="2"/>
    </row>
    <row r="86" spans="1:30" ht="12.75">
      <c r="A86" s="30" t="s">
        <v>187</v>
      </c>
      <c r="B86" s="30">
        <v>1000</v>
      </c>
      <c r="C86" s="30" t="s">
        <v>508</v>
      </c>
      <c r="D86" s="30" t="s">
        <v>508</v>
      </c>
      <c r="E86" s="30">
        <v>21</v>
      </c>
      <c r="F86" s="30">
        <v>45.7</v>
      </c>
      <c r="G86" s="30">
        <v>38</v>
      </c>
      <c r="H86" s="30" t="s">
        <v>508</v>
      </c>
      <c r="I86" s="30">
        <v>6.16</v>
      </c>
      <c r="J86" s="30">
        <v>0.15</v>
      </c>
      <c r="K86" s="30">
        <v>0.11</v>
      </c>
      <c r="L86" s="30">
        <v>5</v>
      </c>
      <c r="M86" s="49">
        <v>8</v>
      </c>
      <c r="N86" s="30">
        <v>30</v>
      </c>
      <c r="O86" s="30">
        <v>0</v>
      </c>
      <c r="P86" s="5"/>
      <c r="Q86" s="5"/>
      <c r="R86" s="5"/>
      <c r="S86" s="5"/>
      <c r="T86" s="5"/>
      <c r="U86" s="5"/>
      <c r="V86" s="2"/>
      <c r="W86" s="2"/>
      <c r="X86" s="2"/>
      <c r="Y86" s="2"/>
      <c r="Z86" s="2"/>
      <c r="AA86" s="2"/>
      <c r="AB86" s="2"/>
      <c r="AC86" s="2"/>
      <c r="AD86" s="2"/>
    </row>
    <row r="87" spans="1:30" ht="12.75">
      <c r="A87" s="30" t="s">
        <v>187</v>
      </c>
      <c r="B87" s="30">
        <v>1000</v>
      </c>
      <c r="C87" s="30" t="s">
        <v>508</v>
      </c>
      <c r="D87" s="30" t="s">
        <v>508</v>
      </c>
      <c r="E87" s="30">
        <v>20.9</v>
      </c>
      <c r="F87" s="30">
        <v>47</v>
      </c>
      <c r="G87" s="30">
        <v>40</v>
      </c>
      <c r="H87" s="30" t="s">
        <v>508</v>
      </c>
      <c r="I87" s="30">
        <v>6.47</v>
      </c>
      <c r="J87" s="30">
        <v>0.15</v>
      </c>
      <c r="K87" s="30">
        <v>0.11</v>
      </c>
      <c r="L87" s="30">
        <v>6</v>
      </c>
      <c r="M87" s="49">
        <v>9</v>
      </c>
      <c r="N87" s="30">
        <v>30</v>
      </c>
      <c r="O87" s="30">
        <v>0</v>
      </c>
      <c r="P87" s="5"/>
      <c r="Q87" s="5"/>
      <c r="R87" s="5"/>
      <c r="S87" s="5"/>
      <c r="T87" s="5"/>
      <c r="U87" s="5"/>
      <c r="V87" s="2"/>
      <c r="W87" s="2"/>
      <c r="X87" s="2"/>
      <c r="Y87" s="2"/>
      <c r="Z87" s="2"/>
      <c r="AA87" s="2"/>
      <c r="AB87" s="2"/>
      <c r="AC87" s="2"/>
      <c r="AD87" s="2"/>
    </row>
    <row r="88" spans="1:30" ht="12.75">
      <c r="A88" s="30" t="s">
        <v>187</v>
      </c>
      <c r="B88" s="30">
        <v>1000</v>
      </c>
      <c r="C88" s="30" t="s">
        <v>508</v>
      </c>
      <c r="D88" s="30" t="s">
        <v>508</v>
      </c>
      <c r="E88" s="30">
        <v>20.8</v>
      </c>
      <c r="F88" s="30">
        <v>49.1</v>
      </c>
      <c r="G88" s="30">
        <v>44</v>
      </c>
      <c r="H88" s="30" t="s">
        <v>508</v>
      </c>
      <c r="I88" s="30">
        <v>6.95</v>
      </c>
      <c r="J88" s="30">
        <v>0.24</v>
      </c>
      <c r="K88" s="30">
        <v>0.15</v>
      </c>
      <c r="L88" s="30">
        <v>7</v>
      </c>
      <c r="M88" s="49">
        <v>10</v>
      </c>
      <c r="N88" s="30">
        <v>30</v>
      </c>
      <c r="O88" s="30">
        <v>0</v>
      </c>
      <c r="P88" s="5"/>
      <c r="Q88" s="5"/>
      <c r="R88" s="5"/>
      <c r="S88" s="5"/>
      <c r="T88" s="5"/>
      <c r="U88" s="5"/>
      <c r="V88" s="2"/>
      <c r="W88" s="2"/>
      <c r="X88" s="2"/>
      <c r="Y88" s="2"/>
      <c r="Z88" s="2"/>
      <c r="AA88" s="2"/>
      <c r="AB88" s="2"/>
      <c r="AC88" s="2"/>
      <c r="AD88" s="2"/>
    </row>
    <row r="89" spans="1:30" ht="12.75">
      <c r="A89" s="30" t="s">
        <v>187</v>
      </c>
      <c r="B89" s="30">
        <v>1000</v>
      </c>
      <c r="C89" s="30" t="s">
        <v>508</v>
      </c>
      <c r="D89" s="30" t="s">
        <v>508</v>
      </c>
      <c r="E89" s="31">
        <v>21</v>
      </c>
      <c r="F89" s="31">
        <v>52</v>
      </c>
      <c r="G89" s="31">
        <v>49</v>
      </c>
      <c r="H89" s="30" t="s">
        <v>508</v>
      </c>
      <c r="I89" s="31">
        <v>7.66</v>
      </c>
      <c r="J89" s="31">
        <v>0.24</v>
      </c>
      <c r="K89" s="31">
        <v>0.15</v>
      </c>
      <c r="L89" s="30">
        <v>8</v>
      </c>
      <c r="M89" s="52">
        <v>11</v>
      </c>
      <c r="N89" s="31">
        <v>30</v>
      </c>
      <c r="O89" s="31">
        <v>0</v>
      </c>
      <c r="P89" s="5"/>
      <c r="Q89" s="5"/>
      <c r="R89" s="5"/>
      <c r="S89" s="5"/>
      <c r="T89" s="5"/>
      <c r="U89" s="5"/>
      <c r="V89" s="2"/>
      <c r="W89" s="2"/>
      <c r="X89" s="2"/>
      <c r="Y89" s="2"/>
      <c r="Z89" s="2"/>
      <c r="AA89" s="2"/>
      <c r="AB89" s="2"/>
      <c r="AC89" s="2"/>
      <c r="AD89" s="2"/>
    </row>
    <row r="90" spans="1:30" ht="13.5" thickBot="1">
      <c r="A90" s="50" t="s">
        <v>187</v>
      </c>
      <c r="B90" s="50">
        <v>1000</v>
      </c>
      <c r="C90" s="50" t="s">
        <v>508</v>
      </c>
      <c r="D90" s="50" t="s">
        <v>508</v>
      </c>
      <c r="E90" s="50">
        <v>21.4</v>
      </c>
      <c r="F90" s="50">
        <v>55.7</v>
      </c>
      <c r="G90" s="50">
        <v>54</v>
      </c>
      <c r="H90" s="50" t="s">
        <v>508</v>
      </c>
      <c r="I90" s="50">
        <v>8.67</v>
      </c>
      <c r="J90" s="50">
        <v>0.24</v>
      </c>
      <c r="K90" s="50">
        <v>0.15</v>
      </c>
      <c r="L90" s="50">
        <v>9</v>
      </c>
      <c r="M90" s="51">
        <v>12</v>
      </c>
      <c r="N90" s="50">
        <v>30</v>
      </c>
      <c r="O90" s="50">
        <v>0</v>
      </c>
      <c r="P90" s="5"/>
      <c r="Q90" s="5"/>
      <c r="R90" s="5"/>
      <c r="S90" s="5"/>
      <c r="T90" s="5"/>
      <c r="U90" s="5"/>
      <c r="V90" s="2"/>
      <c r="W90" s="2"/>
      <c r="X90" s="2"/>
      <c r="Y90" s="2"/>
      <c r="Z90" s="2"/>
      <c r="AA90" s="2"/>
      <c r="AB90" s="2"/>
      <c r="AC90" s="2"/>
      <c r="AD90" s="2"/>
    </row>
    <row r="91" spans="1:30" ht="12.75">
      <c r="A91" s="30" t="s">
        <v>187</v>
      </c>
      <c r="B91" s="30">
        <v>1200</v>
      </c>
      <c r="C91" s="30" t="s">
        <v>508</v>
      </c>
      <c r="D91" s="30" t="s">
        <v>508</v>
      </c>
      <c r="E91" s="30">
        <v>24.4</v>
      </c>
      <c r="F91" s="30">
        <v>55.3</v>
      </c>
      <c r="G91" s="30">
        <v>54</v>
      </c>
      <c r="H91" s="30" t="s">
        <v>508</v>
      </c>
      <c r="I91" s="30">
        <v>8.43</v>
      </c>
      <c r="J91" s="30">
        <v>0.24</v>
      </c>
      <c r="K91" s="30">
        <v>0.17</v>
      </c>
      <c r="L91" s="30" t="s">
        <v>508</v>
      </c>
      <c r="M91" s="49">
        <v>1</v>
      </c>
      <c r="N91" s="30">
        <v>10</v>
      </c>
      <c r="O91" s="30">
        <v>8.3</v>
      </c>
      <c r="P91" s="5"/>
      <c r="Q91" s="5"/>
      <c r="R91" s="5"/>
      <c r="S91" s="5"/>
      <c r="T91" s="5"/>
      <c r="U91" s="5"/>
      <c r="V91" s="2"/>
      <c r="W91" s="2"/>
      <c r="X91" s="2"/>
      <c r="Y91" s="2"/>
      <c r="Z91" s="2"/>
      <c r="AA91" s="2"/>
      <c r="AB91" s="2"/>
      <c r="AC91" s="2"/>
      <c r="AD91" s="2"/>
    </row>
    <row r="92" spans="1:30" ht="12.75">
      <c r="A92" s="30" t="s">
        <v>187</v>
      </c>
      <c r="B92" s="30">
        <v>1200</v>
      </c>
      <c r="C92" s="30" t="s">
        <v>508</v>
      </c>
      <c r="D92" s="30" t="s">
        <v>508</v>
      </c>
      <c r="E92" s="30">
        <v>24.9</v>
      </c>
      <c r="F92" s="30">
        <v>56</v>
      </c>
      <c r="G92" s="30">
        <v>55</v>
      </c>
      <c r="H92" s="30" t="s">
        <v>508</v>
      </c>
      <c r="I92" s="30">
        <v>8.79</v>
      </c>
      <c r="J92" s="30">
        <v>0.25</v>
      </c>
      <c r="K92" s="30">
        <v>0.17</v>
      </c>
      <c r="L92" s="30" t="s">
        <v>508</v>
      </c>
      <c r="M92" s="49">
        <v>2</v>
      </c>
      <c r="N92" s="30">
        <v>10</v>
      </c>
      <c r="O92" s="30">
        <v>10</v>
      </c>
      <c r="P92" s="5"/>
      <c r="Q92" s="5"/>
      <c r="R92" s="5"/>
      <c r="S92" s="5"/>
      <c r="T92" s="5"/>
      <c r="U92" s="5"/>
      <c r="V92" s="2"/>
      <c r="W92" s="2"/>
      <c r="X92" s="2"/>
      <c r="Y92" s="2"/>
      <c r="Z92" s="2"/>
      <c r="AA92" s="2"/>
      <c r="AB92" s="2"/>
      <c r="AC92" s="2"/>
      <c r="AD92" s="2"/>
    </row>
    <row r="93" spans="1:30" ht="12.75">
      <c r="A93" s="30" t="s">
        <v>187</v>
      </c>
      <c r="B93" s="30">
        <v>1200</v>
      </c>
      <c r="C93" s="30" t="s">
        <v>508</v>
      </c>
      <c r="D93" s="30" t="s">
        <v>508</v>
      </c>
      <c r="E93" s="30">
        <v>26</v>
      </c>
      <c r="F93" s="30">
        <v>53.7</v>
      </c>
      <c r="G93" s="30">
        <v>51</v>
      </c>
      <c r="H93" s="30" t="s">
        <v>508</v>
      </c>
      <c r="I93" s="30">
        <v>8.13</v>
      </c>
      <c r="J93" s="30">
        <v>0.23</v>
      </c>
      <c r="K93" s="30">
        <v>0.16</v>
      </c>
      <c r="L93" s="30" t="s">
        <v>508</v>
      </c>
      <c r="M93" s="49">
        <v>3</v>
      </c>
      <c r="N93" s="30">
        <v>10</v>
      </c>
      <c r="O93" s="30">
        <v>9</v>
      </c>
      <c r="P93" s="5"/>
      <c r="Q93" s="5"/>
      <c r="R93" s="5"/>
      <c r="S93" s="5"/>
      <c r="T93" s="5"/>
      <c r="U93" s="5"/>
      <c r="V93" s="2"/>
      <c r="W93" s="2"/>
      <c r="X93" s="2"/>
      <c r="Y93" s="2"/>
      <c r="Z93" s="2"/>
      <c r="AA93" s="2"/>
      <c r="AB93" s="2"/>
      <c r="AC93" s="2"/>
      <c r="AD93" s="2"/>
    </row>
    <row r="94" spans="1:30" ht="12.75">
      <c r="A94" s="30" t="s">
        <v>187</v>
      </c>
      <c r="B94" s="30">
        <v>1200</v>
      </c>
      <c r="C94" s="30" t="s">
        <v>508</v>
      </c>
      <c r="D94" s="30" t="s">
        <v>508</v>
      </c>
      <c r="E94" s="30">
        <v>25.6</v>
      </c>
      <c r="F94" s="30">
        <v>52.9</v>
      </c>
      <c r="G94" s="30">
        <v>50</v>
      </c>
      <c r="H94" s="30" t="s">
        <v>508</v>
      </c>
      <c r="I94" s="30">
        <v>7.73</v>
      </c>
      <c r="J94" s="30">
        <v>0.21</v>
      </c>
      <c r="K94" s="30">
        <v>0.15</v>
      </c>
      <c r="L94" s="30">
        <v>1</v>
      </c>
      <c r="M94" s="49">
        <v>4</v>
      </c>
      <c r="N94" s="30">
        <v>10</v>
      </c>
      <c r="O94" s="30">
        <v>7.2</v>
      </c>
      <c r="P94" s="5"/>
      <c r="Q94" s="5"/>
      <c r="R94" s="5"/>
      <c r="S94" s="5"/>
      <c r="T94" s="5"/>
      <c r="U94" s="5"/>
      <c r="V94" s="2"/>
      <c r="W94" s="2"/>
      <c r="X94" s="2"/>
      <c r="Y94" s="2"/>
      <c r="Z94" s="2"/>
      <c r="AA94" s="2"/>
      <c r="AB94" s="2"/>
      <c r="AC94" s="2"/>
      <c r="AD94" s="2"/>
    </row>
    <row r="95" spans="1:30" ht="12.75">
      <c r="A95" s="30" t="s">
        <v>187</v>
      </c>
      <c r="B95" s="30">
        <v>1200</v>
      </c>
      <c r="C95" s="30" t="s">
        <v>508</v>
      </c>
      <c r="D95" s="30" t="s">
        <v>508</v>
      </c>
      <c r="E95" s="30">
        <v>25.1</v>
      </c>
      <c r="F95" s="30">
        <v>52.1</v>
      </c>
      <c r="G95" s="30">
        <v>49</v>
      </c>
      <c r="H95" s="30" t="s">
        <v>508</v>
      </c>
      <c r="I95" s="30">
        <v>7.33</v>
      </c>
      <c r="J95" s="30">
        <v>0.2</v>
      </c>
      <c r="K95" s="30">
        <v>0.14</v>
      </c>
      <c r="L95" s="30">
        <v>2</v>
      </c>
      <c r="M95" s="49">
        <v>5</v>
      </c>
      <c r="N95" s="30">
        <v>10</v>
      </c>
      <c r="O95" s="30">
        <v>5.4</v>
      </c>
      <c r="P95" s="5"/>
      <c r="Q95" s="5"/>
      <c r="R95" s="5"/>
      <c r="S95" s="5"/>
      <c r="T95" s="5"/>
      <c r="U95" s="5"/>
      <c r="V95" s="2"/>
      <c r="W95" s="2"/>
      <c r="X95" s="2"/>
      <c r="Y95" s="2"/>
      <c r="Z95" s="2"/>
      <c r="AA95" s="2"/>
      <c r="AB95" s="2"/>
      <c r="AC95" s="2"/>
      <c r="AD95" s="2"/>
    </row>
    <row r="96" spans="1:30" ht="12.75">
      <c r="A96" s="30" t="s">
        <v>187</v>
      </c>
      <c r="B96" s="30">
        <v>1200</v>
      </c>
      <c r="C96" s="30" t="s">
        <v>508</v>
      </c>
      <c r="D96" s="30" t="s">
        <v>508</v>
      </c>
      <c r="E96" s="30">
        <v>24.8</v>
      </c>
      <c r="F96" s="30">
        <v>51.5</v>
      </c>
      <c r="G96" s="30">
        <v>48</v>
      </c>
      <c r="H96" s="30" t="s">
        <v>508</v>
      </c>
      <c r="I96" s="30">
        <v>7</v>
      </c>
      <c r="J96" s="30">
        <v>0.19</v>
      </c>
      <c r="K96" s="30">
        <v>0.14</v>
      </c>
      <c r="L96" s="30">
        <v>3</v>
      </c>
      <c r="M96" s="49">
        <v>6</v>
      </c>
      <c r="N96" s="30">
        <v>10</v>
      </c>
      <c r="O96" s="30">
        <v>3.9</v>
      </c>
      <c r="P96" s="5"/>
      <c r="Q96" s="5"/>
      <c r="R96" s="5"/>
      <c r="S96" s="5"/>
      <c r="T96" s="5"/>
      <c r="U96" s="5"/>
      <c r="V96" s="2"/>
      <c r="W96" s="2"/>
      <c r="X96" s="2"/>
      <c r="Y96" s="2"/>
      <c r="Z96" s="2"/>
      <c r="AA96" s="2"/>
      <c r="AB96" s="2"/>
      <c r="AC96" s="2"/>
      <c r="AD96" s="2"/>
    </row>
    <row r="97" spans="1:30" ht="12.75">
      <c r="A97" s="30" t="s">
        <v>187</v>
      </c>
      <c r="B97" s="30">
        <v>1200</v>
      </c>
      <c r="C97" s="30" t="s">
        <v>508</v>
      </c>
      <c r="D97" s="30" t="s">
        <v>508</v>
      </c>
      <c r="E97" s="30">
        <v>24.2</v>
      </c>
      <c r="F97" s="30">
        <v>44.9</v>
      </c>
      <c r="G97" s="30">
        <v>37</v>
      </c>
      <c r="H97" s="30" t="s">
        <v>508</v>
      </c>
      <c r="I97" s="30">
        <v>5.99</v>
      </c>
      <c r="J97" s="30">
        <v>0.15</v>
      </c>
      <c r="K97" s="30">
        <v>0.12</v>
      </c>
      <c r="L97" s="30">
        <v>4</v>
      </c>
      <c r="M97" s="49">
        <v>7</v>
      </c>
      <c r="N97" s="30">
        <v>10</v>
      </c>
      <c r="O97" s="30">
        <v>0</v>
      </c>
      <c r="P97" s="5"/>
      <c r="Q97" s="5"/>
      <c r="R97" s="5"/>
      <c r="S97" s="5"/>
      <c r="T97" s="5"/>
      <c r="U97" s="5"/>
      <c r="V97" s="2"/>
      <c r="W97" s="2"/>
      <c r="X97" s="2"/>
      <c r="Y97" s="2"/>
      <c r="Z97" s="2"/>
      <c r="AA97" s="2"/>
      <c r="AB97" s="2"/>
      <c r="AC97" s="2"/>
      <c r="AD97" s="2"/>
    </row>
    <row r="98" spans="1:30" ht="12.75">
      <c r="A98" s="30" t="s">
        <v>187</v>
      </c>
      <c r="B98" s="30">
        <v>1200</v>
      </c>
      <c r="C98" s="30" t="s">
        <v>508</v>
      </c>
      <c r="D98" s="30" t="s">
        <v>508</v>
      </c>
      <c r="E98" s="30">
        <v>24.1</v>
      </c>
      <c r="F98" s="30">
        <v>45.8</v>
      </c>
      <c r="G98" s="30">
        <v>38</v>
      </c>
      <c r="H98" s="30" t="s">
        <v>508</v>
      </c>
      <c r="I98" s="30">
        <v>6.18</v>
      </c>
      <c r="J98" s="30">
        <v>0.15</v>
      </c>
      <c r="K98" s="30">
        <v>0.12</v>
      </c>
      <c r="L98" s="30">
        <v>5</v>
      </c>
      <c r="M98" s="49">
        <v>8</v>
      </c>
      <c r="N98" s="30">
        <v>10</v>
      </c>
      <c r="O98" s="30">
        <v>0</v>
      </c>
      <c r="P98" s="5"/>
      <c r="Q98" s="5"/>
      <c r="R98" s="5"/>
      <c r="S98" s="5"/>
      <c r="T98" s="5"/>
      <c r="U98" s="5"/>
      <c r="V98" s="2"/>
      <c r="W98" s="2"/>
      <c r="X98" s="2"/>
      <c r="Y98" s="2"/>
      <c r="Z98" s="2"/>
      <c r="AA98" s="2"/>
      <c r="AB98" s="2"/>
      <c r="AC98" s="2"/>
      <c r="AD98" s="2"/>
    </row>
    <row r="99" spans="1:30" ht="12.75">
      <c r="A99" s="30" t="s">
        <v>187</v>
      </c>
      <c r="B99" s="30">
        <v>1200</v>
      </c>
      <c r="C99" s="30" t="s">
        <v>508</v>
      </c>
      <c r="D99" s="30" t="s">
        <v>508</v>
      </c>
      <c r="E99" s="30">
        <v>24</v>
      </c>
      <c r="F99" s="30">
        <v>47.1</v>
      </c>
      <c r="G99" s="30">
        <v>41</v>
      </c>
      <c r="H99" s="30" t="s">
        <v>508</v>
      </c>
      <c r="I99" s="30">
        <v>6.5</v>
      </c>
      <c r="J99" s="30">
        <v>0.15</v>
      </c>
      <c r="K99" s="30">
        <v>0.12</v>
      </c>
      <c r="L99" s="30">
        <v>6</v>
      </c>
      <c r="M99" s="49">
        <v>9</v>
      </c>
      <c r="N99" s="30">
        <v>10</v>
      </c>
      <c r="O99" s="30">
        <v>0</v>
      </c>
      <c r="P99" s="5"/>
      <c r="Q99" s="5"/>
      <c r="R99" s="5"/>
      <c r="S99" s="5"/>
      <c r="T99" s="5"/>
      <c r="U99" s="5"/>
      <c r="V99" s="2"/>
      <c r="W99" s="2"/>
      <c r="X99" s="2"/>
      <c r="Y99" s="2"/>
      <c r="Z99" s="2"/>
      <c r="AA99" s="2"/>
      <c r="AB99" s="2"/>
      <c r="AC99" s="2"/>
      <c r="AD99" s="2"/>
    </row>
    <row r="100" spans="1:30" ht="12.75">
      <c r="A100" s="30" t="s">
        <v>187</v>
      </c>
      <c r="B100" s="30">
        <v>1200</v>
      </c>
      <c r="C100" s="30" t="s">
        <v>508</v>
      </c>
      <c r="D100" s="30" t="s">
        <v>508</v>
      </c>
      <c r="E100" s="30">
        <v>23.9</v>
      </c>
      <c r="F100" s="30">
        <v>49.3</v>
      </c>
      <c r="G100" s="30">
        <v>44</v>
      </c>
      <c r="H100" s="30" t="s">
        <v>508</v>
      </c>
      <c r="I100" s="30">
        <v>7</v>
      </c>
      <c r="J100" s="30">
        <v>0.26</v>
      </c>
      <c r="K100" s="30">
        <v>0.16</v>
      </c>
      <c r="L100" s="30">
        <v>7</v>
      </c>
      <c r="M100" s="49">
        <v>10</v>
      </c>
      <c r="N100" s="30">
        <v>10</v>
      </c>
      <c r="O100" s="30">
        <v>0</v>
      </c>
      <c r="P100" s="5"/>
      <c r="Q100" s="5"/>
      <c r="R100" s="5"/>
      <c r="S100" s="5"/>
      <c r="T100" s="5"/>
      <c r="U100" s="5"/>
      <c r="V100" s="2"/>
      <c r="W100" s="2"/>
      <c r="X100" s="2"/>
      <c r="Y100" s="2"/>
      <c r="Z100" s="2"/>
      <c r="AA100" s="2"/>
      <c r="AB100" s="2"/>
      <c r="AC100" s="2"/>
      <c r="AD100" s="2"/>
    </row>
    <row r="101" spans="1:30" ht="12.75">
      <c r="A101" s="30" t="s">
        <v>187</v>
      </c>
      <c r="B101" s="30">
        <v>1200</v>
      </c>
      <c r="C101" s="30" t="s">
        <v>508</v>
      </c>
      <c r="D101" s="30" t="s">
        <v>508</v>
      </c>
      <c r="E101" s="31">
        <v>24.1</v>
      </c>
      <c r="F101" s="31">
        <v>52.3</v>
      </c>
      <c r="G101" s="31">
        <v>49</v>
      </c>
      <c r="H101" s="30" t="s">
        <v>508</v>
      </c>
      <c r="I101" s="31">
        <v>7.73</v>
      </c>
      <c r="J101" s="31">
        <v>0.25</v>
      </c>
      <c r="K101" s="31">
        <v>0.16</v>
      </c>
      <c r="L101" s="30">
        <v>8</v>
      </c>
      <c r="M101" s="52">
        <v>11</v>
      </c>
      <c r="N101" s="31">
        <v>10</v>
      </c>
      <c r="O101" s="31">
        <v>0</v>
      </c>
      <c r="P101" s="5"/>
      <c r="Q101" s="5"/>
      <c r="R101" s="5"/>
      <c r="S101" s="5"/>
      <c r="T101" s="5"/>
      <c r="U101" s="5"/>
      <c r="V101" s="2"/>
      <c r="W101" s="2"/>
      <c r="X101" s="2"/>
      <c r="Y101" s="2"/>
      <c r="Z101" s="2"/>
      <c r="AA101" s="2"/>
      <c r="AB101" s="2"/>
      <c r="AC101" s="2"/>
      <c r="AD101" s="2"/>
    </row>
    <row r="102" spans="1:30" ht="13.5" thickBot="1">
      <c r="A102" s="50" t="s">
        <v>187</v>
      </c>
      <c r="B102" s="50">
        <v>1200</v>
      </c>
      <c r="C102" s="50" t="s">
        <v>508</v>
      </c>
      <c r="D102" s="50" t="s">
        <v>508</v>
      </c>
      <c r="E102" s="50">
        <v>24.6</v>
      </c>
      <c r="F102" s="50">
        <v>56.2</v>
      </c>
      <c r="G102" s="50">
        <v>55</v>
      </c>
      <c r="H102" s="50" t="s">
        <v>508</v>
      </c>
      <c r="I102" s="50">
        <v>8.78</v>
      </c>
      <c r="J102" s="50">
        <v>0.25</v>
      </c>
      <c r="K102" s="50">
        <v>0.16</v>
      </c>
      <c r="L102" s="50">
        <v>9</v>
      </c>
      <c r="M102" s="51">
        <v>12</v>
      </c>
      <c r="N102" s="50">
        <v>10</v>
      </c>
      <c r="O102" s="50">
        <v>0</v>
      </c>
      <c r="P102" s="5"/>
      <c r="Q102" s="5"/>
      <c r="R102" s="5"/>
      <c r="S102" s="5"/>
      <c r="T102" s="5"/>
      <c r="U102" s="5"/>
      <c r="V102" s="2"/>
      <c r="W102" s="2"/>
      <c r="X102" s="2"/>
      <c r="Y102" s="2"/>
      <c r="Z102" s="2"/>
      <c r="AA102" s="2"/>
      <c r="AB102" s="2"/>
      <c r="AC102" s="2"/>
      <c r="AD102" s="2"/>
    </row>
    <row r="103" spans="1:30" ht="12.75">
      <c r="A103" s="30" t="s">
        <v>187</v>
      </c>
      <c r="B103" s="30">
        <v>1200</v>
      </c>
      <c r="C103" s="30" t="s">
        <v>508</v>
      </c>
      <c r="D103" s="30" t="s">
        <v>508</v>
      </c>
      <c r="E103" s="30">
        <v>26.8</v>
      </c>
      <c r="F103" s="30">
        <v>58.7</v>
      </c>
      <c r="G103" s="30">
        <v>59</v>
      </c>
      <c r="H103" s="30" t="s">
        <v>508</v>
      </c>
      <c r="I103" s="30">
        <v>10.1</v>
      </c>
      <c r="J103" s="30">
        <v>0.29</v>
      </c>
      <c r="K103" s="30">
        <v>0.19</v>
      </c>
      <c r="L103" s="30" t="s">
        <v>508</v>
      </c>
      <c r="M103" s="49">
        <v>1</v>
      </c>
      <c r="N103" s="30">
        <v>20</v>
      </c>
      <c r="O103" s="30">
        <v>16.7</v>
      </c>
      <c r="P103" s="5"/>
      <c r="Q103" s="5"/>
      <c r="R103" s="5"/>
      <c r="S103" s="5"/>
      <c r="T103" s="5"/>
      <c r="U103" s="5"/>
      <c r="V103" s="2"/>
      <c r="W103" s="2"/>
      <c r="X103" s="2"/>
      <c r="Y103" s="2"/>
      <c r="Z103" s="2"/>
      <c r="AA103" s="2"/>
      <c r="AB103" s="2"/>
      <c r="AC103" s="2"/>
      <c r="AD103" s="2"/>
    </row>
    <row r="104" spans="1:30" ht="12.75">
      <c r="A104" s="30" t="s">
        <v>187</v>
      </c>
      <c r="B104" s="30">
        <v>1200</v>
      </c>
      <c r="C104" s="30" t="s">
        <v>508</v>
      </c>
      <c r="D104" s="30" t="s">
        <v>508</v>
      </c>
      <c r="E104" s="30">
        <v>27.8</v>
      </c>
      <c r="F104" s="30">
        <v>59.9</v>
      </c>
      <c r="G104" s="30">
        <v>61</v>
      </c>
      <c r="H104" s="30" t="s">
        <v>508</v>
      </c>
      <c r="I104" s="30">
        <v>10.69</v>
      </c>
      <c r="J104" s="30">
        <v>0.31</v>
      </c>
      <c r="K104" s="30">
        <v>0.21</v>
      </c>
      <c r="L104" s="30" t="s">
        <v>508</v>
      </c>
      <c r="M104" s="49">
        <v>2</v>
      </c>
      <c r="N104" s="30">
        <v>20</v>
      </c>
      <c r="O104" s="30">
        <v>20</v>
      </c>
      <c r="P104" s="5"/>
      <c r="Q104" s="5"/>
      <c r="R104" s="5"/>
      <c r="S104" s="5"/>
      <c r="T104" s="5"/>
      <c r="U104" s="5"/>
      <c r="V104" s="2"/>
      <c r="W104" s="2"/>
      <c r="X104" s="2"/>
      <c r="Y104" s="2"/>
      <c r="Z104" s="2"/>
      <c r="AA104" s="2"/>
      <c r="AB104" s="2"/>
      <c r="AC104" s="2"/>
      <c r="AD104" s="2"/>
    </row>
    <row r="105" spans="1:30" ht="12.75">
      <c r="A105" s="30" t="s">
        <v>187</v>
      </c>
      <c r="B105" s="30">
        <v>1200</v>
      </c>
      <c r="C105" s="30" t="s">
        <v>508</v>
      </c>
      <c r="D105" s="30" t="s">
        <v>508</v>
      </c>
      <c r="E105" s="30">
        <v>28.4</v>
      </c>
      <c r="F105" s="30">
        <v>57.6</v>
      </c>
      <c r="G105" s="30">
        <v>57</v>
      </c>
      <c r="H105" s="30" t="s">
        <v>508</v>
      </c>
      <c r="I105" s="30">
        <v>9.92</v>
      </c>
      <c r="J105" s="30">
        <v>0.29</v>
      </c>
      <c r="K105" s="30">
        <v>0.19</v>
      </c>
      <c r="L105" s="30" t="s">
        <v>508</v>
      </c>
      <c r="M105" s="49">
        <v>3</v>
      </c>
      <c r="N105" s="30">
        <v>20</v>
      </c>
      <c r="O105" s="30">
        <v>18</v>
      </c>
      <c r="P105" s="5"/>
      <c r="Q105" s="5"/>
      <c r="R105" s="5"/>
      <c r="S105" s="5"/>
      <c r="T105" s="5"/>
      <c r="U105" s="5"/>
      <c r="V105" s="2"/>
      <c r="W105" s="2"/>
      <c r="X105" s="2"/>
      <c r="Y105" s="2"/>
      <c r="Z105" s="2"/>
      <c r="AA105" s="2"/>
      <c r="AB105" s="2"/>
      <c r="AC105" s="2"/>
      <c r="AD105" s="2"/>
    </row>
    <row r="106" spans="1:30" ht="12.75">
      <c r="A106" s="30" t="s">
        <v>187</v>
      </c>
      <c r="B106" s="30">
        <v>1200</v>
      </c>
      <c r="C106" s="30" t="s">
        <v>508</v>
      </c>
      <c r="D106" s="30" t="s">
        <v>508</v>
      </c>
      <c r="E106" s="30">
        <v>27.4</v>
      </c>
      <c r="F106" s="30">
        <v>56.2</v>
      </c>
      <c r="G106" s="30">
        <v>55</v>
      </c>
      <c r="H106" s="30" t="s">
        <v>508</v>
      </c>
      <c r="I106" s="30">
        <v>9.25</v>
      </c>
      <c r="J106" s="30">
        <v>0.26</v>
      </c>
      <c r="K106" s="30">
        <v>0.18</v>
      </c>
      <c r="L106" s="30">
        <v>1</v>
      </c>
      <c r="M106" s="49">
        <v>4</v>
      </c>
      <c r="N106" s="30">
        <v>20</v>
      </c>
      <c r="O106" s="30">
        <v>14.4</v>
      </c>
      <c r="P106" s="5"/>
      <c r="Q106" s="5"/>
      <c r="R106" s="5"/>
      <c r="S106" s="5"/>
      <c r="T106" s="5"/>
      <c r="U106" s="5"/>
      <c r="V106" s="2"/>
      <c r="W106" s="2"/>
      <c r="X106" s="2"/>
      <c r="Y106" s="2"/>
      <c r="Z106" s="2"/>
      <c r="AA106" s="2"/>
      <c r="AB106" s="2"/>
      <c r="AC106" s="2"/>
      <c r="AD106" s="2"/>
    </row>
    <row r="107" spans="1:30" ht="12.75">
      <c r="A107" s="30" t="s">
        <v>187</v>
      </c>
      <c r="B107" s="30">
        <v>1200</v>
      </c>
      <c r="C107" s="30" t="s">
        <v>508</v>
      </c>
      <c r="D107" s="30" t="s">
        <v>508</v>
      </c>
      <c r="E107" s="30">
        <v>26.5</v>
      </c>
      <c r="F107" s="30">
        <v>54.7</v>
      </c>
      <c r="G107" s="30">
        <v>53</v>
      </c>
      <c r="H107" s="30" t="s">
        <v>508</v>
      </c>
      <c r="I107" s="30">
        <v>8.54</v>
      </c>
      <c r="J107" s="30">
        <v>0.24</v>
      </c>
      <c r="K107" s="30">
        <v>0.17</v>
      </c>
      <c r="L107" s="30">
        <v>2</v>
      </c>
      <c r="M107" s="49">
        <v>5</v>
      </c>
      <c r="N107" s="30">
        <v>20</v>
      </c>
      <c r="O107" s="30">
        <v>10.8</v>
      </c>
      <c r="P107" s="5"/>
      <c r="Q107" s="5"/>
      <c r="R107" s="5"/>
      <c r="S107" s="5"/>
      <c r="T107" s="5"/>
      <c r="U107" s="5"/>
      <c r="V107" s="2"/>
      <c r="W107" s="2"/>
      <c r="X107" s="2"/>
      <c r="Y107" s="2"/>
      <c r="Z107" s="2"/>
      <c r="AA107" s="2"/>
      <c r="AB107" s="2"/>
      <c r="AC107" s="2"/>
      <c r="AD107" s="2"/>
    </row>
    <row r="108" spans="1:30" ht="12.75">
      <c r="A108" s="30" t="s">
        <v>187</v>
      </c>
      <c r="B108" s="30">
        <v>1200</v>
      </c>
      <c r="C108" s="30" t="s">
        <v>508</v>
      </c>
      <c r="D108" s="30" t="s">
        <v>508</v>
      </c>
      <c r="E108" s="30">
        <v>25.7</v>
      </c>
      <c r="F108" s="30">
        <v>53.4</v>
      </c>
      <c r="G108" s="30">
        <v>51</v>
      </c>
      <c r="H108" s="30" t="s">
        <v>508</v>
      </c>
      <c r="I108" s="30">
        <v>7.92</v>
      </c>
      <c r="J108" s="30">
        <v>0.22</v>
      </c>
      <c r="K108" s="30">
        <v>0.15</v>
      </c>
      <c r="L108" s="30">
        <v>3</v>
      </c>
      <c r="M108" s="49">
        <v>6</v>
      </c>
      <c r="N108" s="30">
        <v>20</v>
      </c>
      <c r="O108" s="30">
        <v>7.8</v>
      </c>
      <c r="P108" s="5"/>
      <c r="Q108" s="5"/>
      <c r="R108" s="5"/>
      <c r="S108" s="5"/>
      <c r="T108" s="5"/>
      <c r="U108" s="5"/>
      <c r="V108" s="2"/>
      <c r="W108" s="2"/>
      <c r="X108" s="2"/>
      <c r="Y108" s="2"/>
      <c r="Z108" s="2"/>
      <c r="AA108" s="2"/>
      <c r="AB108" s="2"/>
      <c r="AC108" s="2"/>
      <c r="AD108" s="2"/>
    </row>
    <row r="109" spans="1:30" ht="12.75">
      <c r="A109" s="30" t="s">
        <v>187</v>
      </c>
      <c r="B109" s="30">
        <v>1200</v>
      </c>
      <c r="C109" s="30" t="s">
        <v>508</v>
      </c>
      <c r="D109" s="30" t="s">
        <v>508</v>
      </c>
      <c r="E109" s="30">
        <v>24.2</v>
      </c>
      <c r="F109" s="30">
        <v>44.9</v>
      </c>
      <c r="G109" s="30">
        <v>37</v>
      </c>
      <c r="H109" s="30" t="s">
        <v>508</v>
      </c>
      <c r="I109" s="30">
        <v>5.99</v>
      </c>
      <c r="J109" s="30">
        <v>0.15</v>
      </c>
      <c r="K109" s="30">
        <v>0.12</v>
      </c>
      <c r="L109" s="30">
        <v>4</v>
      </c>
      <c r="M109" s="49">
        <v>7</v>
      </c>
      <c r="N109" s="30">
        <v>20</v>
      </c>
      <c r="O109" s="30">
        <v>0</v>
      </c>
      <c r="P109" s="5"/>
      <c r="Q109" s="5"/>
      <c r="R109" s="5"/>
      <c r="S109" s="5"/>
      <c r="T109" s="5"/>
      <c r="U109" s="5"/>
      <c r="V109" s="2"/>
      <c r="W109" s="2"/>
      <c r="X109" s="2"/>
      <c r="Y109" s="2"/>
      <c r="Z109" s="2"/>
      <c r="AA109" s="2"/>
      <c r="AB109" s="2"/>
      <c r="AC109" s="2"/>
      <c r="AD109" s="2"/>
    </row>
    <row r="110" spans="1:30" ht="12.75">
      <c r="A110" s="30" t="s">
        <v>187</v>
      </c>
      <c r="B110" s="30">
        <v>1200</v>
      </c>
      <c r="C110" s="30" t="s">
        <v>508</v>
      </c>
      <c r="D110" s="30" t="s">
        <v>508</v>
      </c>
      <c r="E110" s="30">
        <v>24.1</v>
      </c>
      <c r="F110" s="30">
        <v>45.8</v>
      </c>
      <c r="G110" s="30">
        <v>38</v>
      </c>
      <c r="H110" s="30" t="s">
        <v>508</v>
      </c>
      <c r="I110" s="30">
        <v>6.18</v>
      </c>
      <c r="J110" s="30">
        <v>0.15</v>
      </c>
      <c r="K110" s="30">
        <v>0.12</v>
      </c>
      <c r="L110" s="30">
        <v>5</v>
      </c>
      <c r="M110" s="49">
        <v>8</v>
      </c>
      <c r="N110" s="30">
        <v>20</v>
      </c>
      <c r="O110" s="30">
        <v>0</v>
      </c>
      <c r="P110" s="5"/>
      <c r="Q110" s="5"/>
      <c r="R110" s="5"/>
      <c r="S110" s="5"/>
      <c r="T110" s="5"/>
      <c r="U110" s="5"/>
      <c r="V110" s="2"/>
      <c r="W110" s="2"/>
      <c r="X110" s="2"/>
      <c r="Y110" s="2"/>
      <c r="Z110" s="2"/>
      <c r="AA110" s="2"/>
      <c r="AB110" s="2"/>
      <c r="AC110" s="2"/>
      <c r="AD110" s="2"/>
    </row>
    <row r="111" spans="1:30" ht="12.75">
      <c r="A111" s="30" t="s">
        <v>187</v>
      </c>
      <c r="B111" s="30">
        <v>1200</v>
      </c>
      <c r="C111" s="30" t="s">
        <v>508</v>
      </c>
      <c r="D111" s="30" t="s">
        <v>508</v>
      </c>
      <c r="E111" s="30">
        <v>24</v>
      </c>
      <c r="F111" s="30">
        <v>47.1</v>
      </c>
      <c r="G111" s="30">
        <v>41</v>
      </c>
      <c r="H111" s="30" t="s">
        <v>508</v>
      </c>
      <c r="I111" s="30">
        <v>6.5</v>
      </c>
      <c r="J111" s="30">
        <v>0.15</v>
      </c>
      <c r="K111" s="30">
        <v>0.12</v>
      </c>
      <c r="L111" s="30">
        <v>6</v>
      </c>
      <c r="M111" s="49">
        <v>9</v>
      </c>
      <c r="N111" s="30">
        <v>20</v>
      </c>
      <c r="O111" s="30">
        <v>0</v>
      </c>
      <c r="P111" s="5"/>
      <c r="Q111" s="5"/>
      <c r="R111" s="5"/>
      <c r="S111" s="5"/>
      <c r="T111" s="5"/>
      <c r="U111" s="5"/>
      <c r="V111" s="2"/>
      <c r="W111" s="2"/>
      <c r="X111" s="2"/>
      <c r="Y111" s="2"/>
      <c r="Z111" s="2"/>
      <c r="AA111" s="2"/>
      <c r="AB111" s="2"/>
      <c r="AC111" s="2"/>
      <c r="AD111" s="2"/>
    </row>
    <row r="112" spans="1:30" ht="12.75">
      <c r="A112" s="30" t="s">
        <v>187</v>
      </c>
      <c r="B112" s="30">
        <v>1200</v>
      </c>
      <c r="C112" s="30" t="s">
        <v>508</v>
      </c>
      <c r="D112" s="30" t="s">
        <v>508</v>
      </c>
      <c r="E112" s="30">
        <v>23.9</v>
      </c>
      <c r="F112" s="30">
        <v>49.3</v>
      </c>
      <c r="G112" s="30">
        <v>44</v>
      </c>
      <c r="H112" s="30" t="s">
        <v>508</v>
      </c>
      <c r="I112" s="30">
        <v>7</v>
      </c>
      <c r="J112" s="30">
        <v>0.26</v>
      </c>
      <c r="K112" s="30">
        <v>0.16</v>
      </c>
      <c r="L112" s="30">
        <v>7</v>
      </c>
      <c r="M112" s="49">
        <v>10</v>
      </c>
      <c r="N112" s="30">
        <v>20</v>
      </c>
      <c r="O112" s="30">
        <v>0</v>
      </c>
      <c r="P112" s="5"/>
      <c r="Q112" s="5"/>
      <c r="R112" s="5"/>
      <c r="S112" s="5"/>
      <c r="T112" s="5"/>
      <c r="U112" s="5"/>
      <c r="V112" s="2"/>
      <c r="W112" s="2"/>
      <c r="X112" s="2"/>
      <c r="Y112" s="2"/>
      <c r="Z112" s="2"/>
      <c r="AA112" s="2"/>
      <c r="AB112" s="2"/>
      <c r="AC112" s="2"/>
      <c r="AD112" s="2"/>
    </row>
    <row r="113" spans="1:30" ht="12.75">
      <c r="A113" s="30" t="s">
        <v>187</v>
      </c>
      <c r="B113" s="30">
        <v>1200</v>
      </c>
      <c r="C113" s="30" t="s">
        <v>508</v>
      </c>
      <c r="D113" s="30" t="s">
        <v>508</v>
      </c>
      <c r="E113" s="30">
        <v>24.1</v>
      </c>
      <c r="F113" s="30">
        <v>52.3</v>
      </c>
      <c r="G113" s="30">
        <v>49</v>
      </c>
      <c r="H113" s="30" t="s">
        <v>508</v>
      </c>
      <c r="I113" s="30">
        <v>7.73</v>
      </c>
      <c r="J113" s="30">
        <v>0.25</v>
      </c>
      <c r="K113" s="30">
        <v>0.16</v>
      </c>
      <c r="L113" s="30">
        <v>8</v>
      </c>
      <c r="M113" s="49">
        <v>11</v>
      </c>
      <c r="N113" s="30">
        <v>20</v>
      </c>
      <c r="O113" s="31">
        <v>0</v>
      </c>
      <c r="P113" s="5"/>
      <c r="Q113" s="5"/>
      <c r="R113" s="5"/>
      <c r="S113" s="5"/>
      <c r="T113" s="5"/>
      <c r="U113" s="5"/>
      <c r="V113" s="2"/>
      <c r="W113" s="2"/>
      <c r="X113" s="2"/>
      <c r="Y113" s="2"/>
      <c r="Z113" s="2"/>
      <c r="AA113" s="2"/>
      <c r="AB113" s="2"/>
      <c r="AC113" s="2"/>
      <c r="AD113" s="2"/>
    </row>
    <row r="114" spans="1:30" ht="13.5" thickBot="1">
      <c r="A114" s="50" t="s">
        <v>187</v>
      </c>
      <c r="B114" s="50">
        <v>1200</v>
      </c>
      <c r="C114" s="50" t="s">
        <v>508</v>
      </c>
      <c r="D114" s="50" t="s">
        <v>508</v>
      </c>
      <c r="E114" s="50">
        <v>24.6</v>
      </c>
      <c r="F114" s="50">
        <v>56.2</v>
      </c>
      <c r="G114" s="50">
        <v>55</v>
      </c>
      <c r="H114" s="50" t="s">
        <v>508</v>
      </c>
      <c r="I114" s="50">
        <v>8.78</v>
      </c>
      <c r="J114" s="50">
        <v>0.25</v>
      </c>
      <c r="K114" s="50">
        <v>0.16</v>
      </c>
      <c r="L114" s="50">
        <v>9</v>
      </c>
      <c r="M114" s="51">
        <v>12</v>
      </c>
      <c r="N114" s="50">
        <v>20</v>
      </c>
      <c r="O114" s="50">
        <v>0</v>
      </c>
      <c r="P114" s="5"/>
      <c r="Q114" s="5"/>
      <c r="R114" s="5"/>
      <c r="S114" s="5"/>
      <c r="T114" s="5"/>
      <c r="U114" s="5"/>
      <c r="V114" s="2"/>
      <c r="W114" s="2"/>
      <c r="X114" s="2"/>
      <c r="Y114" s="2"/>
      <c r="Z114" s="2"/>
      <c r="AA114" s="2"/>
      <c r="AB114" s="2"/>
      <c r="AC114" s="2"/>
      <c r="AD114" s="2"/>
    </row>
    <row r="115" spans="1:30" ht="12.75">
      <c r="A115" s="30" t="s">
        <v>187</v>
      </c>
      <c r="B115" s="30">
        <v>1200</v>
      </c>
      <c r="C115" s="30" t="s">
        <v>508</v>
      </c>
      <c r="D115" s="30" t="s">
        <v>508</v>
      </c>
      <c r="E115" s="30">
        <v>29.2</v>
      </c>
      <c r="F115" s="30">
        <v>61.6</v>
      </c>
      <c r="G115" s="30">
        <v>64</v>
      </c>
      <c r="H115" s="30" t="s">
        <v>508</v>
      </c>
      <c r="I115" s="30">
        <v>11.51</v>
      </c>
      <c r="J115" s="30">
        <v>0.34</v>
      </c>
      <c r="K115" s="30">
        <v>0.22</v>
      </c>
      <c r="L115" s="30" t="s">
        <v>508</v>
      </c>
      <c r="M115" s="49">
        <v>1</v>
      </c>
      <c r="N115" s="30">
        <v>30</v>
      </c>
      <c r="O115" s="30">
        <v>25</v>
      </c>
      <c r="P115" s="5"/>
      <c r="Q115" s="5"/>
      <c r="R115" s="5"/>
      <c r="S115" s="5"/>
      <c r="T115" s="5"/>
      <c r="U115" s="5"/>
      <c r="V115" s="2"/>
      <c r="W115" s="2"/>
      <c r="X115" s="2"/>
      <c r="Y115" s="2"/>
      <c r="Z115" s="2"/>
      <c r="AA115" s="2"/>
      <c r="AB115" s="2"/>
      <c r="AC115" s="2"/>
      <c r="AD115" s="2"/>
    </row>
    <row r="116" spans="1:30" ht="12.75">
      <c r="A116" s="30" t="s">
        <v>187</v>
      </c>
      <c r="B116" s="30">
        <v>1200</v>
      </c>
      <c r="C116" s="30" t="s">
        <v>508</v>
      </c>
      <c r="D116" s="30" t="s">
        <v>508</v>
      </c>
      <c r="E116" s="30">
        <v>30.6</v>
      </c>
      <c r="F116" s="30">
        <v>63.2</v>
      </c>
      <c r="G116" s="30">
        <v>66</v>
      </c>
      <c r="H116" s="30" t="s">
        <v>508</v>
      </c>
      <c r="I116" s="30">
        <v>12.25</v>
      </c>
      <c r="J116" s="30">
        <v>0.36</v>
      </c>
      <c r="K116" s="30">
        <v>0.23</v>
      </c>
      <c r="L116" s="30" t="s">
        <v>508</v>
      </c>
      <c r="M116" s="49">
        <v>2</v>
      </c>
      <c r="N116" s="30">
        <v>30</v>
      </c>
      <c r="O116" s="30">
        <v>30</v>
      </c>
      <c r="P116" s="5"/>
      <c r="Q116" s="5"/>
      <c r="R116" s="5"/>
      <c r="S116" s="5"/>
      <c r="T116" s="5"/>
      <c r="U116" s="5"/>
      <c r="V116" s="2"/>
      <c r="W116" s="2"/>
      <c r="X116" s="2"/>
      <c r="Y116" s="2"/>
      <c r="Z116" s="2"/>
      <c r="AA116" s="2"/>
      <c r="AB116" s="2"/>
      <c r="AC116" s="2"/>
      <c r="AD116" s="2"/>
    </row>
    <row r="117" spans="1:30" ht="12.75">
      <c r="A117" s="30" t="s">
        <v>187</v>
      </c>
      <c r="B117" s="30">
        <v>1200</v>
      </c>
      <c r="C117" s="30" t="s">
        <v>508</v>
      </c>
      <c r="D117" s="30" t="s">
        <v>508</v>
      </c>
      <c r="E117" s="30">
        <v>30.8</v>
      </c>
      <c r="F117" s="30">
        <v>60.8</v>
      </c>
      <c r="G117" s="30">
        <v>62</v>
      </c>
      <c r="H117" s="30" t="s">
        <v>508</v>
      </c>
      <c r="I117" s="30">
        <v>11.41</v>
      </c>
      <c r="J117" s="30">
        <v>0.34</v>
      </c>
      <c r="K117" s="30">
        <v>0.22</v>
      </c>
      <c r="L117" s="30" t="s">
        <v>508</v>
      </c>
      <c r="M117" s="49">
        <v>3</v>
      </c>
      <c r="N117" s="30">
        <v>30</v>
      </c>
      <c r="O117" s="30">
        <v>27</v>
      </c>
      <c r="P117" s="5"/>
      <c r="Q117" s="5"/>
      <c r="R117" s="5"/>
      <c r="S117" s="5"/>
      <c r="T117" s="5"/>
      <c r="U117" s="5"/>
      <c r="V117" s="2"/>
      <c r="W117" s="2"/>
      <c r="X117" s="2"/>
      <c r="Y117" s="2"/>
      <c r="Z117" s="2"/>
      <c r="AA117" s="2"/>
      <c r="AB117" s="2"/>
      <c r="AC117" s="2"/>
      <c r="AD117" s="2"/>
    </row>
    <row r="118" spans="1:30" ht="12.75">
      <c r="A118" s="30" t="s">
        <v>187</v>
      </c>
      <c r="B118" s="30">
        <v>1200</v>
      </c>
      <c r="C118" s="30" t="s">
        <v>508</v>
      </c>
      <c r="D118" s="30" t="s">
        <v>508</v>
      </c>
      <c r="E118" s="30">
        <v>29.4</v>
      </c>
      <c r="F118" s="30">
        <v>59</v>
      </c>
      <c r="G118" s="30">
        <v>59</v>
      </c>
      <c r="H118" s="30" t="s">
        <v>508</v>
      </c>
      <c r="I118" s="30">
        <v>10.55</v>
      </c>
      <c r="J118" s="30">
        <v>0.31</v>
      </c>
      <c r="K118" s="30">
        <v>0.2</v>
      </c>
      <c r="L118" s="30">
        <v>1</v>
      </c>
      <c r="M118" s="49">
        <v>4</v>
      </c>
      <c r="N118" s="30">
        <v>30</v>
      </c>
      <c r="O118" s="30">
        <v>21.6</v>
      </c>
      <c r="P118" s="5"/>
      <c r="Q118" s="5"/>
      <c r="R118" s="5"/>
      <c r="S118" s="5"/>
      <c r="T118" s="5"/>
      <c r="U118" s="5"/>
      <c r="V118" s="2"/>
      <c r="W118" s="2"/>
      <c r="X118" s="2"/>
      <c r="Y118" s="2"/>
      <c r="Z118" s="2"/>
      <c r="AA118" s="2"/>
      <c r="AB118" s="2"/>
      <c r="AC118" s="2"/>
      <c r="AD118" s="2"/>
    </row>
    <row r="119" spans="1:30" ht="12.75">
      <c r="A119" s="30" t="s">
        <v>187</v>
      </c>
      <c r="B119" s="30">
        <v>1200</v>
      </c>
      <c r="C119" s="30" t="s">
        <v>508</v>
      </c>
      <c r="D119" s="30" t="s">
        <v>508</v>
      </c>
      <c r="E119" s="30">
        <v>27.9</v>
      </c>
      <c r="F119" s="30">
        <v>57</v>
      </c>
      <c r="G119" s="30">
        <v>56</v>
      </c>
      <c r="H119" s="30" t="s">
        <v>508</v>
      </c>
      <c r="I119" s="30">
        <v>9.61</v>
      </c>
      <c r="J119" s="30">
        <v>0.27</v>
      </c>
      <c r="K119" s="30">
        <v>0.18</v>
      </c>
      <c r="L119" s="30">
        <v>2</v>
      </c>
      <c r="M119" s="49">
        <v>5</v>
      </c>
      <c r="N119" s="30">
        <v>30</v>
      </c>
      <c r="O119" s="30">
        <v>16.2</v>
      </c>
      <c r="P119" s="5"/>
      <c r="Q119" s="5"/>
      <c r="R119" s="5"/>
      <c r="S119" s="5"/>
      <c r="T119" s="5"/>
      <c r="U119" s="5"/>
      <c r="V119" s="2"/>
      <c r="W119" s="2"/>
      <c r="X119" s="2"/>
      <c r="Y119" s="2"/>
      <c r="Z119" s="2"/>
      <c r="AA119" s="2"/>
      <c r="AB119" s="2"/>
      <c r="AC119" s="2"/>
      <c r="AD119" s="2"/>
    </row>
    <row r="120" spans="1:30" ht="12.75">
      <c r="A120" s="30" t="s">
        <v>187</v>
      </c>
      <c r="B120" s="30">
        <v>1200</v>
      </c>
      <c r="C120" s="30" t="s">
        <v>508</v>
      </c>
      <c r="D120" s="30" t="s">
        <v>508</v>
      </c>
      <c r="E120" s="30">
        <v>26.7</v>
      </c>
      <c r="F120" s="30">
        <v>55.2</v>
      </c>
      <c r="G120" s="30">
        <v>54</v>
      </c>
      <c r="H120" s="30" t="s">
        <v>508</v>
      </c>
      <c r="I120" s="30">
        <v>8.75</v>
      </c>
      <c r="J120" s="30">
        <v>0.25</v>
      </c>
      <c r="K120" s="30">
        <v>0.17</v>
      </c>
      <c r="L120" s="30">
        <v>3</v>
      </c>
      <c r="M120" s="30">
        <v>6</v>
      </c>
      <c r="N120" s="30">
        <v>30</v>
      </c>
      <c r="O120" s="30">
        <v>11.7</v>
      </c>
      <c r="P120" s="5"/>
      <c r="Q120" s="5"/>
      <c r="R120" s="5"/>
      <c r="S120" s="5"/>
      <c r="T120" s="5"/>
      <c r="U120" s="5"/>
      <c r="V120" s="2"/>
      <c r="W120" s="2"/>
      <c r="X120" s="2"/>
      <c r="Y120" s="2"/>
      <c r="Z120" s="2"/>
      <c r="AA120" s="2"/>
      <c r="AB120" s="2"/>
      <c r="AC120" s="2"/>
      <c r="AD120" s="2"/>
    </row>
    <row r="121" spans="1:30" ht="12.75">
      <c r="A121" s="30" t="s">
        <v>187</v>
      </c>
      <c r="B121" s="30">
        <v>1200</v>
      </c>
      <c r="C121" s="30" t="s">
        <v>508</v>
      </c>
      <c r="D121" s="30" t="s">
        <v>508</v>
      </c>
      <c r="E121" s="30">
        <v>24.2</v>
      </c>
      <c r="F121" s="30">
        <v>44.9</v>
      </c>
      <c r="G121" s="30">
        <v>37</v>
      </c>
      <c r="H121" s="30" t="s">
        <v>508</v>
      </c>
      <c r="I121" s="30">
        <v>5.99</v>
      </c>
      <c r="J121" s="30">
        <v>0.15</v>
      </c>
      <c r="K121" s="30">
        <v>0.12</v>
      </c>
      <c r="L121" s="30">
        <v>4</v>
      </c>
      <c r="M121" s="30">
        <v>7</v>
      </c>
      <c r="N121" s="30">
        <v>30</v>
      </c>
      <c r="O121" s="30">
        <v>0</v>
      </c>
      <c r="P121" s="5"/>
      <c r="Q121" s="5"/>
      <c r="R121" s="5"/>
      <c r="S121" s="5"/>
      <c r="T121" s="5"/>
      <c r="U121" s="5"/>
      <c r="V121" s="2"/>
      <c r="W121" s="2"/>
      <c r="X121" s="2"/>
      <c r="Y121" s="2"/>
      <c r="Z121" s="2"/>
      <c r="AA121" s="2"/>
      <c r="AB121" s="2"/>
      <c r="AC121" s="2"/>
      <c r="AD121" s="2"/>
    </row>
    <row r="122" spans="1:30" ht="12.75">
      <c r="A122" s="30" t="s">
        <v>187</v>
      </c>
      <c r="B122" s="30">
        <v>1200</v>
      </c>
      <c r="C122" s="30" t="s">
        <v>508</v>
      </c>
      <c r="D122" s="30" t="s">
        <v>508</v>
      </c>
      <c r="E122" s="30">
        <v>24.1</v>
      </c>
      <c r="F122" s="30">
        <v>45.8</v>
      </c>
      <c r="G122" s="30">
        <v>38</v>
      </c>
      <c r="H122" s="30" t="s">
        <v>508</v>
      </c>
      <c r="I122" s="30">
        <v>6.18</v>
      </c>
      <c r="J122" s="30">
        <v>0.15</v>
      </c>
      <c r="K122" s="30">
        <v>0.12</v>
      </c>
      <c r="L122" s="30">
        <v>5</v>
      </c>
      <c r="M122" s="30">
        <v>8</v>
      </c>
      <c r="N122" s="30">
        <v>30</v>
      </c>
      <c r="O122" s="30">
        <v>0</v>
      </c>
      <c r="P122" s="5"/>
      <c r="Q122" s="5"/>
      <c r="R122" s="5"/>
      <c r="S122" s="5"/>
      <c r="T122" s="5"/>
      <c r="U122" s="5"/>
      <c r="V122" s="2"/>
      <c r="W122" s="2"/>
      <c r="X122" s="2"/>
      <c r="Y122" s="2"/>
      <c r="Z122" s="2"/>
      <c r="AA122" s="2"/>
      <c r="AB122" s="2"/>
      <c r="AC122" s="2"/>
      <c r="AD122" s="2"/>
    </row>
    <row r="123" spans="1:30" ht="12.75">
      <c r="A123" s="30" t="s">
        <v>187</v>
      </c>
      <c r="B123" s="30">
        <v>1200</v>
      </c>
      <c r="C123" s="30" t="s">
        <v>508</v>
      </c>
      <c r="D123" s="30" t="s">
        <v>508</v>
      </c>
      <c r="E123" s="30">
        <v>24</v>
      </c>
      <c r="F123" s="30">
        <v>47.1</v>
      </c>
      <c r="G123" s="30">
        <v>41</v>
      </c>
      <c r="H123" s="30" t="s">
        <v>508</v>
      </c>
      <c r="I123" s="30">
        <v>6.5</v>
      </c>
      <c r="J123" s="30">
        <v>0.15</v>
      </c>
      <c r="K123" s="30">
        <v>0.12</v>
      </c>
      <c r="L123" s="30">
        <v>6</v>
      </c>
      <c r="M123" s="30">
        <v>9</v>
      </c>
      <c r="N123" s="30">
        <v>30</v>
      </c>
      <c r="O123" s="30">
        <v>0</v>
      </c>
      <c r="P123" s="5"/>
      <c r="Q123" s="5"/>
      <c r="R123" s="5"/>
      <c r="S123" s="5"/>
      <c r="T123" s="5"/>
      <c r="U123" s="5"/>
      <c r="V123" s="2"/>
      <c r="W123" s="2"/>
      <c r="X123" s="2"/>
      <c r="Y123" s="2"/>
      <c r="Z123" s="2"/>
      <c r="AA123" s="2"/>
      <c r="AB123" s="2"/>
      <c r="AC123" s="2"/>
      <c r="AD123" s="2"/>
    </row>
    <row r="124" spans="1:30" ht="12.75">
      <c r="A124" s="30" t="s">
        <v>187</v>
      </c>
      <c r="B124" s="30">
        <v>1200</v>
      </c>
      <c r="C124" s="30" t="s">
        <v>508</v>
      </c>
      <c r="D124" s="30" t="s">
        <v>508</v>
      </c>
      <c r="E124" s="30">
        <v>23.9</v>
      </c>
      <c r="F124" s="30">
        <v>49.3</v>
      </c>
      <c r="G124" s="30">
        <v>44</v>
      </c>
      <c r="H124" s="30" t="s">
        <v>508</v>
      </c>
      <c r="I124" s="30">
        <v>7</v>
      </c>
      <c r="J124" s="30">
        <v>0.26</v>
      </c>
      <c r="K124" s="30">
        <v>0.16</v>
      </c>
      <c r="L124" s="30">
        <v>7</v>
      </c>
      <c r="M124" s="30">
        <v>10</v>
      </c>
      <c r="N124" s="30">
        <v>30</v>
      </c>
      <c r="O124" s="30">
        <v>0</v>
      </c>
      <c r="P124" s="5"/>
      <c r="Q124" s="5"/>
      <c r="R124" s="5"/>
      <c r="S124" s="5"/>
      <c r="T124" s="5"/>
      <c r="U124" s="5"/>
      <c r="V124" s="2"/>
      <c r="W124" s="2"/>
      <c r="X124" s="2"/>
      <c r="Y124" s="2"/>
      <c r="Z124" s="2"/>
      <c r="AA124" s="2"/>
      <c r="AB124" s="2"/>
      <c r="AC124" s="2"/>
      <c r="AD124" s="2"/>
    </row>
    <row r="125" spans="1:30" ht="12.75">
      <c r="A125" s="30" t="s">
        <v>187</v>
      </c>
      <c r="B125" s="30">
        <v>1200</v>
      </c>
      <c r="C125" s="30" t="s">
        <v>508</v>
      </c>
      <c r="D125" s="30" t="s">
        <v>508</v>
      </c>
      <c r="E125" s="30">
        <v>24.1</v>
      </c>
      <c r="F125" s="30">
        <v>52.3</v>
      </c>
      <c r="G125" s="30">
        <v>49</v>
      </c>
      <c r="H125" s="30" t="s">
        <v>508</v>
      </c>
      <c r="I125" s="30">
        <v>7.73</v>
      </c>
      <c r="J125" s="30">
        <v>0.25</v>
      </c>
      <c r="K125" s="30">
        <v>0.16</v>
      </c>
      <c r="L125" s="30">
        <v>8</v>
      </c>
      <c r="M125" s="30">
        <v>11</v>
      </c>
      <c r="N125" s="30">
        <v>30</v>
      </c>
      <c r="O125" s="31">
        <v>0</v>
      </c>
      <c r="P125" s="5"/>
      <c r="Q125" s="5"/>
      <c r="R125" s="5"/>
      <c r="S125" s="5"/>
      <c r="T125" s="5"/>
      <c r="U125" s="5"/>
      <c r="V125" s="2"/>
      <c r="W125" s="2"/>
      <c r="X125" s="2"/>
      <c r="Y125" s="2"/>
      <c r="Z125" s="2"/>
      <c r="AA125" s="2"/>
      <c r="AB125" s="2"/>
      <c r="AC125" s="2"/>
      <c r="AD125" s="2"/>
    </row>
    <row r="126" spans="1:30" ht="13.5" thickBot="1">
      <c r="A126" s="50" t="s">
        <v>187</v>
      </c>
      <c r="B126" s="50">
        <v>1200</v>
      </c>
      <c r="C126" s="50" t="s">
        <v>508</v>
      </c>
      <c r="D126" s="50" t="s">
        <v>508</v>
      </c>
      <c r="E126" s="50">
        <v>24.6</v>
      </c>
      <c r="F126" s="50">
        <v>56.2</v>
      </c>
      <c r="G126" s="50">
        <v>55</v>
      </c>
      <c r="H126" s="50" t="s">
        <v>508</v>
      </c>
      <c r="I126" s="50">
        <v>8.78</v>
      </c>
      <c r="J126" s="50">
        <v>0.25</v>
      </c>
      <c r="K126" s="50">
        <v>0.16</v>
      </c>
      <c r="L126" s="50">
        <v>9</v>
      </c>
      <c r="M126" s="50">
        <v>12</v>
      </c>
      <c r="N126" s="50">
        <v>30</v>
      </c>
      <c r="O126" s="50">
        <v>0</v>
      </c>
      <c r="P126" s="5"/>
      <c r="Q126" s="5"/>
      <c r="R126" s="5"/>
      <c r="S126" s="5"/>
      <c r="T126" s="5"/>
      <c r="U126" s="5"/>
      <c r="V126" s="2"/>
      <c r="W126" s="2"/>
      <c r="X126" s="2"/>
      <c r="Y126" s="2"/>
      <c r="Z126" s="2"/>
      <c r="AA126" s="2"/>
      <c r="AB126" s="2"/>
      <c r="AC126" s="2"/>
      <c r="AD126" s="2"/>
    </row>
    <row r="127" spans="1:30" ht="12.75">
      <c r="A127" s="30" t="s">
        <v>187</v>
      </c>
      <c r="B127" s="30">
        <v>1400</v>
      </c>
      <c r="C127" s="30" t="s">
        <v>508</v>
      </c>
      <c r="D127" s="30" t="s">
        <v>508</v>
      </c>
      <c r="E127" s="30">
        <v>27.1</v>
      </c>
      <c r="F127" s="30">
        <v>54.9</v>
      </c>
      <c r="G127" s="30">
        <v>53</v>
      </c>
      <c r="H127" s="30" t="s">
        <v>508</v>
      </c>
      <c r="I127" s="30">
        <v>8.23</v>
      </c>
      <c r="J127" s="30">
        <v>0.23</v>
      </c>
      <c r="K127" s="30">
        <v>0.17</v>
      </c>
      <c r="L127" s="30" t="s">
        <v>508</v>
      </c>
      <c r="M127" s="49">
        <v>1</v>
      </c>
      <c r="N127" s="30">
        <v>10</v>
      </c>
      <c r="O127" s="30">
        <v>8.3</v>
      </c>
      <c r="P127" s="5"/>
      <c r="Q127" s="5"/>
      <c r="R127" s="5"/>
      <c r="S127" s="5"/>
      <c r="T127" s="5"/>
      <c r="U127" s="5"/>
      <c r="V127" s="2"/>
      <c r="W127" s="2"/>
      <c r="X127" s="2"/>
      <c r="Y127" s="2"/>
      <c r="Z127" s="2"/>
      <c r="AA127" s="2"/>
      <c r="AB127" s="2"/>
      <c r="AC127" s="2"/>
      <c r="AD127" s="2"/>
    </row>
    <row r="128" spans="1:30" ht="12.75">
      <c r="A128" s="30" t="s">
        <v>187</v>
      </c>
      <c r="B128" s="30">
        <v>1400</v>
      </c>
      <c r="C128" s="30" t="s">
        <v>508</v>
      </c>
      <c r="D128" s="30" t="s">
        <v>508</v>
      </c>
      <c r="E128" s="30">
        <v>27.6</v>
      </c>
      <c r="F128" s="30">
        <v>55.5</v>
      </c>
      <c r="G128" s="30">
        <v>54</v>
      </c>
      <c r="H128" s="30" t="s">
        <v>508</v>
      </c>
      <c r="I128" s="30">
        <v>8.56</v>
      </c>
      <c r="J128" s="30">
        <v>0.25</v>
      </c>
      <c r="K128" s="30">
        <v>0.17</v>
      </c>
      <c r="L128" s="30" t="s">
        <v>508</v>
      </c>
      <c r="M128" s="49">
        <v>2</v>
      </c>
      <c r="N128" s="30">
        <v>10</v>
      </c>
      <c r="O128" s="30">
        <v>10</v>
      </c>
      <c r="P128" s="5"/>
      <c r="Q128" s="5"/>
      <c r="R128" s="5"/>
      <c r="S128" s="5"/>
      <c r="T128" s="5"/>
      <c r="U128" s="5"/>
      <c r="V128" s="2"/>
      <c r="W128" s="2"/>
      <c r="X128" s="2"/>
      <c r="Y128" s="2"/>
      <c r="Z128" s="2"/>
      <c r="AA128" s="2"/>
      <c r="AB128" s="2"/>
      <c r="AC128" s="2"/>
      <c r="AD128" s="2"/>
    </row>
    <row r="129" spans="1:30" ht="12.75">
      <c r="A129" s="30" t="s">
        <v>187</v>
      </c>
      <c r="B129" s="30">
        <v>1400</v>
      </c>
      <c r="C129" s="30" t="s">
        <v>508</v>
      </c>
      <c r="D129" s="30" t="s">
        <v>508</v>
      </c>
      <c r="E129" s="30">
        <v>28.9</v>
      </c>
      <c r="F129" s="30">
        <v>53.3</v>
      </c>
      <c r="G129" s="30">
        <v>51</v>
      </c>
      <c r="H129" s="30" t="s">
        <v>508</v>
      </c>
      <c r="I129" s="30">
        <v>7.91</v>
      </c>
      <c r="J129" s="30">
        <v>0.23</v>
      </c>
      <c r="K129" s="30">
        <v>0.16</v>
      </c>
      <c r="L129" s="30" t="s">
        <v>508</v>
      </c>
      <c r="M129" s="49">
        <v>3</v>
      </c>
      <c r="N129" s="30">
        <v>10</v>
      </c>
      <c r="O129" s="30">
        <v>9</v>
      </c>
      <c r="P129" s="5"/>
      <c r="Q129" s="5"/>
      <c r="R129" s="5"/>
      <c r="S129" s="5"/>
      <c r="T129" s="5"/>
      <c r="U129" s="5"/>
      <c r="V129" s="2"/>
      <c r="W129" s="2"/>
      <c r="X129" s="2"/>
      <c r="Y129" s="2"/>
      <c r="Z129" s="2"/>
      <c r="AA129" s="2"/>
      <c r="AB129" s="2"/>
      <c r="AC129" s="2"/>
      <c r="AD129" s="2"/>
    </row>
    <row r="130" spans="1:30" ht="12.75">
      <c r="A130" s="30" t="s">
        <v>187</v>
      </c>
      <c r="B130" s="30">
        <v>1400</v>
      </c>
      <c r="C130" s="30" t="s">
        <v>508</v>
      </c>
      <c r="D130" s="30" t="s">
        <v>508</v>
      </c>
      <c r="E130" s="30">
        <v>28.5</v>
      </c>
      <c r="F130" s="30">
        <v>52.5</v>
      </c>
      <c r="G130" s="30">
        <v>49</v>
      </c>
      <c r="H130" s="30" t="s">
        <v>508</v>
      </c>
      <c r="I130" s="30">
        <v>7.55</v>
      </c>
      <c r="J130" s="30">
        <v>0.21</v>
      </c>
      <c r="K130" s="30">
        <v>0.15</v>
      </c>
      <c r="L130" s="30">
        <v>1</v>
      </c>
      <c r="M130" s="49">
        <v>4</v>
      </c>
      <c r="N130" s="30">
        <v>10</v>
      </c>
      <c r="O130" s="30">
        <v>7.2</v>
      </c>
      <c r="P130" s="5"/>
      <c r="Q130" s="5"/>
      <c r="R130" s="5"/>
      <c r="S130" s="5"/>
      <c r="T130" s="5"/>
      <c r="U130" s="5"/>
      <c r="V130" s="2"/>
      <c r="W130" s="2"/>
      <c r="X130" s="2"/>
      <c r="Y130" s="2"/>
      <c r="Z130" s="2"/>
      <c r="AA130" s="2"/>
      <c r="AB130" s="2"/>
      <c r="AC130" s="2"/>
      <c r="AD130" s="2"/>
    </row>
    <row r="131" spans="1:30" ht="12.75">
      <c r="A131" s="30" t="s">
        <v>187</v>
      </c>
      <c r="B131" s="30">
        <v>1400</v>
      </c>
      <c r="C131" s="30" t="s">
        <v>508</v>
      </c>
      <c r="D131" s="30" t="s">
        <v>508</v>
      </c>
      <c r="E131" s="30">
        <v>28</v>
      </c>
      <c r="F131" s="30">
        <v>51.8</v>
      </c>
      <c r="G131" s="30">
        <v>48</v>
      </c>
      <c r="H131" s="30" t="s">
        <v>508</v>
      </c>
      <c r="I131" s="30">
        <v>7.19</v>
      </c>
      <c r="J131" s="30">
        <v>0.2</v>
      </c>
      <c r="K131" s="30">
        <v>0.15</v>
      </c>
      <c r="L131" s="30">
        <v>2</v>
      </c>
      <c r="M131" s="49">
        <v>5</v>
      </c>
      <c r="N131" s="30">
        <v>10</v>
      </c>
      <c r="O131" s="30">
        <v>5.4</v>
      </c>
      <c r="P131" s="5"/>
      <c r="Q131" s="5"/>
      <c r="R131" s="5"/>
      <c r="S131" s="5"/>
      <c r="T131" s="5"/>
      <c r="U131" s="5"/>
      <c r="V131" s="2"/>
      <c r="W131" s="2"/>
      <c r="X131" s="2"/>
      <c r="Y131" s="2"/>
      <c r="Z131" s="2"/>
      <c r="AA131" s="2"/>
      <c r="AB131" s="2"/>
      <c r="AC131" s="2"/>
      <c r="AD131" s="2"/>
    </row>
    <row r="132" spans="1:30" ht="12.75">
      <c r="A132" s="30" t="s">
        <v>187</v>
      </c>
      <c r="B132" s="30">
        <v>1400</v>
      </c>
      <c r="C132" s="30" t="s">
        <v>508</v>
      </c>
      <c r="D132" s="30" t="s">
        <v>508</v>
      </c>
      <c r="E132" s="30">
        <v>27.7</v>
      </c>
      <c r="F132" s="30">
        <v>51.2</v>
      </c>
      <c r="G132" s="30">
        <v>47</v>
      </c>
      <c r="H132" s="30" t="s">
        <v>508</v>
      </c>
      <c r="I132" s="30">
        <v>6.9</v>
      </c>
      <c r="J132" s="30">
        <v>0.19</v>
      </c>
      <c r="K132" s="30">
        <v>0.14</v>
      </c>
      <c r="L132" s="30">
        <v>3</v>
      </c>
      <c r="M132" s="49">
        <v>6</v>
      </c>
      <c r="N132" s="30">
        <v>10</v>
      </c>
      <c r="O132" s="30">
        <v>3.9</v>
      </c>
      <c r="P132" s="5"/>
      <c r="Q132" s="5"/>
      <c r="R132" s="5"/>
      <c r="S132" s="5"/>
      <c r="T132" s="5"/>
      <c r="U132" s="5"/>
      <c r="V132" s="2"/>
      <c r="W132" s="2"/>
      <c r="X132" s="2"/>
      <c r="Y132" s="2"/>
      <c r="Z132" s="2"/>
      <c r="AA132" s="2"/>
      <c r="AB132" s="2"/>
      <c r="AC132" s="2"/>
      <c r="AD132" s="2"/>
    </row>
    <row r="133" spans="1:30" ht="12.75">
      <c r="A133" s="30" t="s">
        <v>187</v>
      </c>
      <c r="B133" s="30">
        <v>1400</v>
      </c>
      <c r="C133" s="30" t="s">
        <v>508</v>
      </c>
      <c r="D133" s="30" t="s">
        <v>508</v>
      </c>
      <c r="E133" s="30">
        <v>27.2</v>
      </c>
      <c r="F133" s="30">
        <v>45</v>
      </c>
      <c r="G133" s="30">
        <v>37</v>
      </c>
      <c r="H133" s="30" t="s">
        <v>508</v>
      </c>
      <c r="I133" s="30">
        <v>6</v>
      </c>
      <c r="J133" s="30">
        <v>0.16</v>
      </c>
      <c r="K133" s="30">
        <v>0.12</v>
      </c>
      <c r="L133" s="30">
        <v>4</v>
      </c>
      <c r="M133" s="49">
        <v>7</v>
      </c>
      <c r="N133" s="30">
        <v>10</v>
      </c>
      <c r="O133" s="30">
        <v>0</v>
      </c>
      <c r="P133" s="5"/>
      <c r="Q133" s="5"/>
      <c r="R133" s="5"/>
      <c r="S133" s="5"/>
      <c r="T133" s="5"/>
      <c r="U133" s="5"/>
      <c r="V133" s="2"/>
      <c r="W133" s="2"/>
      <c r="X133" s="2"/>
      <c r="Y133" s="2"/>
      <c r="Z133" s="2"/>
      <c r="AA133" s="2"/>
      <c r="AB133" s="2"/>
      <c r="AC133" s="2"/>
      <c r="AD133" s="2"/>
    </row>
    <row r="134" spans="1:30" ht="12.75">
      <c r="A134" s="30" t="s">
        <v>187</v>
      </c>
      <c r="B134" s="30">
        <v>1400</v>
      </c>
      <c r="C134" s="30" t="s">
        <v>508</v>
      </c>
      <c r="D134" s="30" t="s">
        <v>508</v>
      </c>
      <c r="E134" s="30">
        <v>27</v>
      </c>
      <c r="F134" s="30">
        <v>45.8</v>
      </c>
      <c r="G134" s="30">
        <v>39</v>
      </c>
      <c r="H134" s="30" t="s">
        <v>508</v>
      </c>
      <c r="I134" s="30">
        <v>6.2</v>
      </c>
      <c r="J134" s="30">
        <v>0.16</v>
      </c>
      <c r="K134" s="30">
        <v>0.12</v>
      </c>
      <c r="L134" s="30">
        <v>5</v>
      </c>
      <c r="M134" s="49">
        <v>8</v>
      </c>
      <c r="N134" s="30">
        <v>10</v>
      </c>
      <c r="O134" s="30">
        <v>0</v>
      </c>
      <c r="P134" s="5"/>
      <c r="Q134" s="5"/>
      <c r="R134" s="5"/>
      <c r="S134" s="5"/>
      <c r="T134" s="5"/>
      <c r="U134" s="5"/>
      <c r="V134" s="2"/>
      <c r="W134" s="2"/>
      <c r="X134" s="2"/>
      <c r="Y134" s="2"/>
      <c r="Z134" s="2"/>
      <c r="AA134" s="2"/>
      <c r="AB134" s="2"/>
      <c r="AC134" s="2"/>
      <c r="AD134" s="2"/>
    </row>
    <row r="135" spans="1:30" ht="12.75">
      <c r="A135" s="30" t="s">
        <v>187</v>
      </c>
      <c r="B135" s="30">
        <v>1400</v>
      </c>
      <c r="C135" s="30" t="s">
        <v>508</v>
      </c>
      <c r="D135" s="30" t="s">
        <v>508</v>
      </c>
      <c r="E135" s="30">
        <v>26.9</v>
      </c>
      <c r="F135" s="30">
        <v>47.3</v>
      </c>
      <c r="G135" s="30">
        <v>41</v>
      </c>
      <c r="H135" s="30" t="s">
        <v>508</v>
      </c>
      <c r="I135" s="30">
        <v>6.53</v>
      </c>
      <c r="J135" s="30">
        <v>0.16</v>
      </c>
      <c r="K135" s="30">
        <v>0.12</v>
      </c>
      <c r="L135" s="30">
        <v>6</v>
      </c>
      <c r="M135" s="49">
        <v>9</v>
      </c>
      <c r="N135" s="30">
        <v>10</v>
      </c>
      <c r="O135" s="30">
        <v>0</v>
      </c>
      <c r="P135" s="5"/>
      <c r="Q135" s="5"/>
      <c r="R135" s="5"/>
      <c r="S135" s="5"/>
      <c r="T135" s="5"/>
      <c r="U135" s="5"/>
      <c r="V135" s="2"/>
      <c r="W135" s="2"/>
      <c r="X135" s="2"/>
      <c r="Y135" s="2"/>
      <c r="Z135" s="2"/>
      <c r="AA135" s="2"/>
      <c r="AB135" s="2"/>
      <c r="AC135" s="2"/>
      <c r="AD135" s="2"/>
    </row>
    <row r="136" spans="1:30" ht="12.75">
      <c r="A136" s="30" t="s">
        <v>187</v>
      </c>
      <c r="B136" s="30">
        <v>1400</v>
      </c>
      <c r="C136" s="30" t="s">
        <v>508</v>
      </c>
      <c r="D136" s="30" t="s">
        <v>508</v>
      </c>
      <c r="E136" s="30">
        <v>26.8</v>
      </c>
      <c r="F136" s="30">
        <v>49.5</v>
      </c>
      <c r="G136" s="30">
        <v>44</v>
      </c>
      <c r="H136" s="30" t="s">
        <v>508</v>
      </c>
      <c r="I136" s="30">
        <v>7.04</v>
      </c>
      <c r="J136" s="30">
        <v>0.27</v>
      </c>
      <c r="K136" s="30">
        <v>0.17</v>
      </c>
      <c r="L136" s="30">
        <v>7</v>
      </c>
      <c r="M136" s="49">
        <v>10</v>
      </c>
      <c r="N136" s="30">
        <v>10</v>
      </c>
      <c r="O136" s="30">
        <v>0</v>
      </c>
      <c r="P136" s="5"/>
      <c r="Q136" s="5"/>
      <c r="R136" s="5"/>
      <c r="S136" s="5"/>
      <c r="T136" s="5"/>
      <c r="U136" s="5"/>
      <c r="V136" s="2"/>
      <c r="W136" s="2"/>
      <c r="X136" s="2"/>
      <c r="Y136" s="2"/>
      <c r="Z136" s="2"/>
      <c r="AA136" s="2"/>
      <c r="AB136" s="2"/>
      <c r="AC136" s="2"/>
      <c r="AD136" s="2"/>
    </row>
    <row r="137" spans="1:30" ht="12.75">
      <c r="A137" s="30" t="s">
        <v>187</v>
      </c>
      <c r="B137" s="30">
        <v>1400</v>
      </c>
      <c r="C137" s="30" t="s">
        <v>508</v>
      </c>
      <c r="D137" s="30" t="s">
        <v>508</v>
      </c>
      <c r="E137" s="30">
        <v>27</v>
      </c>
      <c r="F137" s="30">
        <v>52.6</v>
      </c>
      <c r="G137" s="30">
        <v>49</v>
      </c>
      <c r="H137" s="30" t="s">
        <v>508</v>
      </c>
      <c r="I137" s="30">
        <v>7.8</v>
      </c>
      <c r="J137" s="30">
        <v>0.26</v>
      </c>
      <c r="K137" s="30">
        <v>0.17</v>
      </c>
      <c r="L137" s="30">
        <v>8</v>
      </c>
      <c r="M137" s="52">
        <v>11</v>
      </c>
      <c r="N137" s="31">
        <v>10</v>
      </c>
      <c r="O137" s="31">
        <v>0</v>
      </c>
      <c r="P137" s="5"/>
      <c r="Q137" s="5"/>
      <c r="R137" s="5"/>
      <c r="S137" s="5"/>
      <c r="T137" s="5"/>
      <c r="U137" s="5"/>
      <c r="V137" s="2"/>
      <c r="W137" s="2"/>
      <c r="X137" s="2"/>
      <c r="Y137" s="2"/>
      <c r="Z137" s="2"/>
      <c r="AA137" s="2"/>
      <c r="AB137" s="2"/>
      <c r="AC137" s="2"/>
      <c r="AD137" s="2"/>
    </row>
    <row r="138" spans="1:30" ht="13.5" thickBot="1">
      <c r="A138" s="50" t="s">
        <v>187</v>
      </c>
      <c r="B138" s="50">
        <v>1400</v>
      </c>
      <c r="C138" s="50" t="s">
        <v>508</v>
      </c>
      <c r="D138" s="50" t="s">
        <v>508</v>
      </c>
      <c r="E138" s="50">
        <v>27.6</v>
      </c>
      <c r="F138" s="50">
        <v>56.6</v>
      </c>
      <c r="G138" s="50">
        <v>56</v>
      </c>
      <c r="H138" s="50" t="s">
        <v>508</v>
      </c>
      <c r="I138" s="50">
        <v>8.88</v>
      </c>
      <c r="J138" s="50">
        <v>0.26</v>
      </c>
      <c r="K138" s="50">
        <v>0.16</v>
      </c>
      <c r="L138" s="50">
        <v>9</v>
      </c>
      <c r="M138" s="51">
        <v>12</v>
      </c>
      <c r="N138" s="50">
        <v>10</v>
      </c>
      <c r="O138" s="50">
        <v>0</v>
      </c>
      <c r="P138" s="5"/>
      <c r="Q138" s="5"/>
      <c r="R138" s="5"/>
      <c r="S138" s="5"/>
      <c r="T138" s="5"/>
      <c r="U138" s="5"/>
      <c r="V138" s="2"/>
      <c r="W138" s="2"/>
      <c r="X138" s="2"/>
      <c r="Y138" s="2"/>
      <c r="Z138" s="2"/>
      <c r="AA138" s="2"/>
      <c r="AB138" s="2"/>
      <c r="AC138" s="2"/>
      <c r="AD138" s="2"/>
    </row>
    <row r="139" spans="1:30" ht="12.75">
      <c r="A139" s="30" t="s">
        <v>187</v>
      </c>
      <c r="B139" s="30">
        <v>1400</v>
      </c>
      <c r="C139" s="30" t="s">
        <v>508</v>
      </c>
      <c r="D139" s="30" t="s">
        <v>508</v>
      </c>
      <c r="E139" s="30">
        <v>29.5</v>
      </c>
      <c r="F139" s="30">
        <v>58</v>
      </c>
      <c r="G139" s="30">
        <v>58</v>
      </c>
      <c r="H139" s="30" t="s">
        <v>508</v>
      </c>
      <c r="I139" s="30">
        <v>9.76</v>
      </c>
      <c r="J139" s="30">
        <v>0.28</v>
      </c>
      <c r="K139" s="30">
        <v>0.19</v>
      </c>
      <c r="L139" s="30" t="s">
        <v>508</v>
      </c>
      <c r="M139" s="49">
        <v>1</v>
      </c>
      <c r="N139" s="30">
        <v>20</v>
      </c>
      <c r="O139" s="30">
        <v>16.7</v>
      </c>
      <c r="P139" s="5"/>
      <c r="Q139" s="5"/>
      <c r="R139" s="5"/>
      <c r="S139" s="5"/>
      <c r="T139" s="5"/>
      <c r="U139" s="5"/>
      <c r="V139" s="2"/>
      <c r="W139" s="2"/>
      <c r="X139" s="2"/>
      <c r="Y139" s="2"/>
      <c r="Z139" s="2"/>
      <c r="AA139" s="2"/>
      <c r="AB139" s="2"/>
      <c r="AC139" s="2"/>
      <c r="AD139" s="2"/>
    </row>
    <row r="140" spans="1:30" ht="12.75">
      <c r="A140" s="30" t="s">
        <v>187</v>
      </c>
      <c r="B140" s="30">
        <v>1400</v>
      </c>
      <c r="C140" s="30" t="s">
        <v>508</v>
      </c>
      <c r="D140" s="30" t="s">
        <v>508</v>
      </c>
      <c r="E140" s="30">
        <v>30.5</v>
      </c>
      <c r="F140" s="30">
        <v>59.1</v>
      </c>
      <c r="G140" s="30">
        <v>60</v>
      </c>
      <c r="H140" s="30" t="s">
        <v>508</v>
      </c>
      <c r="I140" s="30">
        <v>10.31</v>
      </c>
      <c r="J140" s="30">
        <v>0.3</v>
      </c>
      <c r="K140" s="30">
        <v>0.2</v>
      </c>
      <c r="L140" s="30" t="s">
        <v>508</v>
      </c>
      <c r="M140" s="49">
        <v>2</v>
      </c>
      <c r="N140" s="30">
        <v>20</v>
      </c>
      <c r="O140" s="30">
        <v>20</v>
      </c>
      <c r="P140" s="5"/>
      <c r="Q140" s="5"/>
      <c r="R140" s="5"/>
      <c r="S140" s="5"/>
      <c r="T140" s="5"/>
      <c r="U140" s="5"/>
      <c r="V140" s="2"/>
      <c r="W140" s="2"/>
      <c r="X140" s="2"/>
      <c r="Y140" s="2"/>
      <c r="Z140" s="2"/>
      <c r="AA140" s="2"/>
      <c r="AB140" s="2"/>
      <c r="AC140" s="2"/>
      <c r="AD140" s="2"/>
    </row>
    <row r="141" spans="1:30" ht="12.75">
      <c r="A141" s="30" t="s">
        <v>187</v>
      </c>
      <c r="B141" s="30">
        <v>1400</v>
      </c>
      <c r="C141" s="30" t="s">
        <v>508</v>
      </c>
      <c r="D141" s="30" t="s">
        <v>508</v>
      </c>
      <c r="E141" s="30">
        <v>31.3</v>
      </c>
      <c r="F141" s="30">
        <v>56.8</v>
      </c>
      <c r="G141" s="30">
        <v>56</v>
      </c>
      <c r="H141" s="30" t="s">
        <v>508</v>
      </c>
      <c r="I141" s="30">
        <v>9.56</v>
      </c>
      <c r="J141" s="30">
        <v>0.28</v>
      </c>
      <c r="K141" s="30">
        <v>0.19</v>
      </c>
      <c r="L141" s="30" t="s">
        <v>508</v>
      </c>
      <c r="M141" s="49">
        <v>3</v>
      </c>
      <c r="N141" s="30">
        <v>20</v>
      </c>
      <c r="O141" s="30">
        <v>18</v>
      </c>
      <c r="P141" s="5"/>
      <c r="Q141" s="5"/>
      <c r="R141" s="5"/>
      <c r="S141" s="5"/>
      <c r="T141" s="5"/>
      <c r="U141" s="5"/>
      <c r="V141" s="2"/>
      <c r="W141" s="2"/>
      <c r="X141" s="2"/>
      <c r="Y141" s="2"/>
      <c r="Z141" s="2"/>
      <c r="AA141" s="2"/>
      <c r="AB141" s="2"/>
      <c r="AC141" s="2"/>
      <c r="AD141" s="2"/>
    </row>
    <row r="142" spans="1:30" ht="12.75">
      <c r="A142" s="30" t="s">
        <v>187</v>
      </c>
      <c r="B142" s="30">
        <v>1400</v>
      </c>
      <c r="C142" s="30" t="s">
        <v>508</v>
      </c>
      <c r="D142" s="30" t="s">
        <v>508</v>
      </c>
      <c r="E142" s="30">
        <v>30.3</v>
      </c>
      <c r="F142" s="30">
        <v>55.5</v>
      </c>
      <c r="G142" s="30">
        <v>54</v>
      </c>
      <c r="H142" s="30" t="s">
        <v>508</v>
      </c>
      <c r="I142" s="30">
        <v>8.94</v>
      </c>
      <c r="J142" s="30">
        <v>0.26</v>
      </c>
      <c r="K142" s="30">
        <v>0.18</v>
      </c>
      <c r="L142" s="30">
        <v>1</v>
      </c>
      <c r="M142" s="49">
        <v>4</v>
      </c>
      <c r="N142" s="30">
        <v>20</v>
      </c>
      <c r="O142" s="30">
        <v>14.4</v>
      </c>
      <c r="P142" s="5"/>
      <c r="Q142" s="5"/>
      <c r="R142" s="5"/>
      <c r="S142" s="5"/>
      <c r="T142" s="5"/>
      <c r="U142" s="5"/>
      <c r="V142" s="2"/>
      <c r="W142" s="2"/>
      <c r="X142" s="2"/>
      <c r="Y142" s="2"/>
      <c r="Z142" s="2"/>
      <c r="AA142" s="2"/>
      <c r="AB142" s="2"/>
      <c r="AC142" s="2"/>
      <c r="AD142" s="2"/>
    </row>
    <row r="143" spans="1:30" ht="12.75">
      <c r="A143" s="30" t="s">
        <v>187</v>
      </c>
      <c r="B143" s="30">
        <v>1400</v>
      </c>
      <c r="C143" s="30" t="s">
        <v>508</v>
      </c>
      <c r="D143" s="30" t="s">
        <v>508</v>
      </c>
      <c r="E143" s="30">
        <v>29.4</v>
      </c>
      <c r="F143" s="30">
        <v>54.1</v>
      </c>
      <c r="G143" s="30">
        <v>52</v>
      </c>
      <c r="H143" s="30" t="s">
        <v>508</v>
      </c>
      <c r="I143" s="30">
        <v>8.29</v>
      </c>
      <c r="J143" s="30">
        <v>0.24</v>
      </c>
      <c r="K143" s="30">
        <v>0.17</v>
      </c>
      <c r="L143" s="30">
        <v>2</v>
      </c>
      <c r="M143" s="49">
        <v>5</v>
      </c>
      <c r="N143" s="30">
        <v>20</v>
      </c>
      <c r="O143" s="30">
        <v>10.8</v>
      </c>
      <c r="P143" s="5"/>
      <c r="Q143" s="5"/>
      <c r="R143" s="5"/>
      <c r="S143" s="5"/>
      <c r="T143" s="5"/>
      <c r="U143" s="5"/>
      <c r="V143" s="2"/>
      <c r="W143" s="2"/>
      <c r="X143" s="2"/>
      <c r="Y143" s="2"/>
      <c r="Z143" s="2"/>
      <c r="AA143" s="2"/>
      <c r="AB143" s="2"/>
      <c r="AC143" s="2"/>
      <c r="AD143" s="2"/>
    </row>
    <row r="144" spans="1:30" ht="12.75">
      <c r="A144" s="30" t="s">
        <v>187</v>
      </c>
      <c r="B144" s="30">
        <v>1400</v>
      </c>
      <c r="C144" s="30" t="s">
        <v>508</v>
      </c>
      <c r="D144" s="30" t="s">
        <v>508</v>
      </c>
      <c r="E144" s="30">
        <v>28.6</v>
      </c>
      <c r="F144" s="30">
        <v>53</v>
      </c>
      <c r="G144" s="30">
        <v>50</v>
      </c>
      <c r="H144" s="30" t="s">
        <v>508</v>
      </c>
      <c r="I144" s="30">
        <v>7.73</v>
      </c>
      <c r="J144" s="30">
        <v>0.22</v>
      </c>
      <c r="K144" s="30">
        <v>0.16</v>
      </c>
      <c r="L144" s="30">
        <v>3</v>
      </c>
      <c r="M144" s="49">
        <v>6</v>
      </c>
      <c r="N144" s="30">
        <v>20</v>
      </c>
      <c r="O144" s="30">
        <v>7.8</v>
      </c>
      <c r="P144" s="5"/>
      <c r="Q144" s="5"/>
      <c r="R144" s="5"/>
      <c r="S144" s="5"/>
      <c r="T144" s="5"/>
      <c r="U144" s="5"/>
      <c r="V144" s="2"/>
      <c r="W144" s="2"/>
      <c r="X144" s="2"/>
      <c r="Y144" s="2"/>
      <c r="Z144" s="2"/>
      <c r="AA144" s="2"/>
      <c r="AB144" s="2"/>
      <c r="AC144" s="2"/>
      <c r="AD144" s="2"/>
    </row>
    <row r="145" spans="1:30" ht="12.75">
      <c r="A145" s="30" t="s">
        <v>187</v>
      </c>
      <c r="B145" s="30">
        <v>1400</v>
      </c>
      <c r="C145" s="30" t="s">
        <v>508</v>
      </c>
      <c r="D145" s="30" t="s">
        <v>508</v>
      </c>
      <c r="E145" s="30">
        <v>27.2</v>
      </c>
      <c r="F145" s="30">
        <v>45</v>
      </c>
      <c r="G145" s="30">
        <v>37</v>
      </c>
      <c r="H145" s="30" t="s">
        <v>508</v>
      </c>
      <c r="I145" s="30">
        <v>6</v>
      </c>
      <c r="J145" s="30">
        <v>0.16</v>
      </c>
      <c r="K145" s="30">
        <v>0.12</v>
      </c>
      <c r="L145" s="30">
        <v>4</v>
      </c>
      <c r="M145" s="49">
        <v>7</v>
      </c>
      <c r="N145" s="30">
        <v>20</v>
      </c>
      <c r="O145" s="30">
        <v>0</v>
      </c>
      <c r="P145" s="5"/>
      <c r="Q145" s="5"/>
      <c r="R145" s="5"/>
      <c r="S145" s="5"/>
      <c r="T145" s="5"/>
      <c r="U145" s="5"/>
      <c r="V145" s="2"/>
      <c r="W145" s="2"/>
      <c r="X145" s="2"/>
      <c r="Y145" s="2"/>
      <c r="Z145" s="2"/>
      <c r="AA145" s="2"/>
      <c r="AB145" s="2"/>
      <c r="AC145" s="2"/>
      <c r="AD145" s="2"/>
    </row>
    <row r="146" spans="1:30" ht="12.75">
      <c r="A146" s="30" t="s">
        <v>187</v>
      </c>
      <c r="B146" s="30">
        <v>1400</v>
      </c>
      <c r="C146" s="30" t="s">
        <v>508</v>
      </c>
      <c r="D146" s="30" t="s">
        <v>508</v>
      </c>
      <c r="E146" s="30">
        <v>27</v>
      </c>
      <c r="F146" s="30">
        <v>45.8</v>
      </c>
      <c r="G146" s="30">
        <v>39</v>
      </c>
      <c r="H146" s="30" t="s">
        <v>508</v>
      </c>
      <c r="I146" s="30">
        <v>6.2</v>
      </c>
      <c r="J146" s="30">
        <v>0.16</v>
      </c>
      <c r="K146" s="30">
        <v>0.12</v>
      </c>
      <c r="L146" s="30">
        <v>5</v>
      </c>
      <c r="M146" s="49">
        <v>8</v>
      </c>
      <c r="N146" s="30">
        <v>20</v>
      </c>
      <c r="O146" s="30">
        <v>0</v>
      </c>
      <c r="P146" s="5"/>
      <c r="Q146" s="5"/>
      <c r="R146" s="5"/>
      <c r="S146" s="5"/>
      <c r="T146" s="5"/>
      <c r="U146" s="5"/>
      <c r="V146" s="2"/>
      <c r="W146" s="2"/>
      <c r="X146" s="2"/>
      <c r="Y146" s="2"/>
      <c r="Z146" s="2"/>
      <c r="AA146" s="2"/>
      <c r="AB146" s="2"/>
      <c r="AC146" s="2"/>
      <c r="AD146" s="2"/>
    </row>
    <row r="147" spans="1:30" ht="12.75">
      <c r="A147" s="30" t="s">
        <v>187</v>
      </c>
      <c r="B147" s="30">
        <v>1400</v>
      </c>
      <c r="C147" s="30" t="s">
        <v>508</v>
      </c>
      <c r="D147" s="30" t="s">
        <v>508</v>
      </c>
      <c r="E147" s="30">
        <v>26.9</v>
      </c>
      <c r="F147" s="30">
        <v>47.3</v>
      </c>
      <c r="G147" s="30">
        <v>41</v>
      </c>
      <c r="H147" s="30" t="s">
        <v>508</v>
      </c>
      <c r="I147" s="30">
        <v>6.53</v>
      </c>
      <c r="J147" s="30">
        <v>0.16</v>
      </c>
      <c r="K147" s="30">
        <v>0.12</v>
      </c>
      <c r="L147" s="30">
        <v>6</v>
      </c>
      <c r="M147" s="49">
        <v>9</v>
      </c>
      <c r="N147" s="30">
        <v>20</v>
      </c>
      <c r="O147" s="30">
        <v>0</v>
      </c>
      <c r="P147" s="5"/>
      <c r="Q147" s="5"/>
      <c r="R147" s="5"/>
      <c r="S147" s="5"/>
      <c r="T147" s="5"/>
      <c r="U147" s="5"/>
      <c r="V147" s="2"/>
      <c r="W147" s="2"/>
      <c r="X147" s="2"/>
      <c r="Y147" s="2"/>
      <c r="Z147" s="2"/>
      <c r="AA147" s="2"/>
      <c r="AB147" s="2"/>
      <c r="AC147" s="2"/>
      <c r="AD147" s="2"/>
    </row>
    <row r="148" spans="1:30" ht="12.75">
      <c r="A148" s="30" t="s">
        <v>187</v>
      </c>
      <c r="B148" s="30">
        <v>1400</v>
      </c>
      <c r="C148" s="30" t="s">
        <v>508</v>
      </c>
      <c r="D148" s="30" t="s">
        <v>508</v>
      </c>
      <c r="E148" s="30">
        <v>26.8</v>
      </c>
      <c r="F148" s="30">
        <v>49.5</v>
      </c>
      <c r="G148" s="30">
        <v>44</v>
      </c>
      <c r="H148" s="30" t="s">
        <v>508</v>
      </c>
      <c r="I148" s="30">
        <v>7.04</v>
      </c>
      <c r="J148" s="30">
        <v>0.27</v>
      </c>
      <c r="K148" s="30">
        <v>0.17</v>
      </c>
      <c r="L148" s="30">
        <v>7</v>
      </c>
      <c r="M148" s="49">
        <v>10</v>
      </c>
      <c r="N148" s="30">
        <v>20</v>
      </c>
      <c r="O148" s="30">
        <v>0</v>
      </c>
      <c r="P148" s="5"/>
      <c r="Q148" s="5"/>
      <c r="R148" s="5"/>
      <c r="S148" s="5"/>
      <c r="T148" s="5"/>
      <c r="U148" s="5"/>
      <c r="V148" s="2"/>
      <c r="W148" s="2"/>
      <c r="X148" s="2"/>
      <c r="Y148" s="2"/>
      <c r="Z148" s="2"/>
      <c r="AA148" s="2"/>
      <c r="AB148" s="2"/>
      <c r="AC148" s="2"/>
      <c r="AD148" s="2"/>
    </row>
    <row r="149" spans="1:30" ht="12.75">
      <c r="A149" s="30" t="s">
        <v>187</v>
      </c>
      <c r="B149" s="30">
        <v>1400</v>
      </c>
      <c r="C149" s="30" t="s">
        <v>508</v>
      </c>
      <c r="D149" s="30" t="s">
        <v>508</v>
      </c>
      <c r="E149" s="30">
        <v>27</v>
      </c>
      <c r="F149" s="30">
        <v>52.6</v>
      </c>
      <c r="G149" s="30">
        <v>49</v>
      </c>
      <c r="H149" s="30" t="s">
        <v>508</v>
      </c>
      <c r="I149" s="30">
        <v>7.8</v>
      </c>
      <c r="J149" s="30">
        <v>0.26</v>
      </c>
      <c r="K149" s="30">
        <v>0.17</v>
      </c>
      <c r="L149" s="30">
        <v>8</v>
      </c>
      <c r="M149" s="49">
        <v>11</v>
      </c>
      <c r="N149" s="30">
        <v>20</v>
      </c>
      <c r="O149" s="31">
        <v>0</v>
      </c>
      <c r="P149" s="5"/>
      <c r="Q149" s="5"/>
      <c r="R149" s="5"/>
      <c r="S149" s="5"/>
      <c r="T149" s="5"/>
      <c r="U149" s="5"/>
      <c r="V149" s="2"/>
      <c r="W149" s="2"/>
      <c r="X149" s="2"/>
      <c r="Y149" s="2"/>
      <c r="Z149" s="2"/>
      <c r="AA149" s="2"/>
      <c r="AB149" s="2"/>
      <c r="AC149" s="2"/>
      <c r="AD149" s="2"/>
    </row>
    <row r="150" spans="1:30" ht="13.5" thickBot="1">
      <c r="A150" s="50" t="s">
        <v>187</v>
      </c>
      <c r="B150" s="50">
        <v>1400</v>
      </c>
      <c r="C150" s="50" t="s">
        <v>508</v>
      </c>
      <c r="D150" s="50" t="s">
        <v>508</v>
      </c>
      <c r="E150" s="50">
        <v>27.6</v>
      </c>
      <c r="F150" s="50">
        <v>56.6</v>
      </c>
      <c r="G150" s="50">
        <v>56</v>
      </c>
      <c r="H150" s="50" t="s">
        <v>508</v>
      </c>
      <c r="I150" s="50">
        <v>8.88</v>
      </c>
      <c r="J150" s="50">
        <v>0.26</v>
      </c>
      <c r="K150" s="50">
        <v>0.16</v>
      </c>
      <c r="L150" s="50">
        <v>9</v>
      </c>
      <c r="M150" s="51">
        <v>12</v>
      </c>
      <c r="N150" s="50">
        <v>20</v>
      </c>
      <c r="O150" s="50">
        <v>0</v>
      </c>
      <c r="P150" s="5"/>
      <c r="Q150" s="5"/>
      <c r="R150" s="5"/>
      <c r="S150" s="5"/>
      <c r="T150" s="5"/>
      <c r="U150" s="5"/>
      <c r="V150" s="2"/>
      <c r="W150" s="2"/>
      <c r="X150" s="2"/>
      <c r="Y150" s="2"/>
      <c r="Z150" s="2"/>
      <c r="AA150" s="2"/>
      <c r="AB150" s="2"/>
      <c r="AC150" s="2"/>
      <c r="AD150" s="2"/>
    </row>
    <row r="151" spans="1:30" ht="12.75">
      <c r="A151" s="30" t="s">
        <v>187</v>
      </c>
      <c r="B151" s="30">
        <v>1400</v>
      </c>
      <c r="C151" s="30" t="s">
        <v>508</v>
      </c>
      <c r="D151" s="30" t="s">
        <v>508</v>
      </c>
      <c r="E151" s="30">
        <v>31.9</v>
      </c>
      <c r="F151" s="30">
        <v>60.7</v>
      </c>
      <c r="G151" s="30">
        <v>62</v>
      </c>
      <c r="H151" s="30" t="s">
        <v>508</v>
      </c>
      <c r="I151" s="30">
        <v>11.07</v>
      </c>
      <c r="J151" s="30">
        <v>0.33</v>
      </c>
      <c r="K151" s="30">
        <v>0.22</v>
      </c>
      <c r="L151" s="30" t="s">
        <v>508</v>
      </c>
      <c r="M151" s="49">
        <v>1</v>
      </c>
      <c r="N151" s="30">
        <v>30</v>
      </c>
      <c r="O151" s="30">
        <v>25</v>
      </c>
      <c r="P151" s="5"/>
      <c r="Q151" s="5"/>
      <c r="R151" s="5"/>
      <c r="S151" s="5"/>
      <c r="T151" s="5"/>
      <c r="U151" s="5"/>
      <c r="V151" s="2"/>
      <c r="W151" s="2"/>
      <c r="X151" s="2"/>
      <c r="Y151" s="2"/>
      <c r="Z151" s="2"/>
      <c r="AA151" s="2"/>
      <c r="AB151" s="2"/>
      <c r="AC151" s="2"/>
      <c r="AD151" s="2"/>
    </row>
    <row r="152" spans="1:30" ht="12.75">
      <c r="A152" s="30" t="s">
        <v>187</v>
      </c>
      <c r="B152" s="30">
        <v>1400</v>
      </c>
      <c r="C152" s="30" t="s">
        <v>508</v>
      </c>
      <c r="D152" s="30" t="s">
        <v>508</v>
      </c>
      <c r="E152" s="30">
        <v>33.3</v>
      </c>
      <c r="F152" s="30">
        <v>62.2</v>
      </c>
      <c r="G152" s="30">
        <v>64</v>
      </c>
      <c r="H152" s="30" t="s">
        <v>508</v>
      </c>
      <c r="I152" s="30">
        <v>11.77</v>
      </c>
      <c r="J152" s="30">
        <v>0.35</v>
      </c>
      <c r="K152" s="30">
        <v>0.23</v>
      </c>
      <c r="L152" s="30" t="s">
        <v>508</v>
      </c>
      <c r="M152" s="49">
        <v>2</v>
      </c>
      <c r="N152" s="30">
        <v>30</v>
      </c>
      <c r="O152" s="30">
        <v>30</v>
      </c>
      <c r="P152" s="5"/>
      <c r="Q152" s="5"/>
      <c r="R152" s="5"/>
      <c r="S152" s="5"/>
      <c r="T152" s="5"/>
      <c r="U152" s="5"/>
      <c r="V152" s="2"/>
      <c r="W152" s="2"/>
      <c r="X152" s="2"/>
      <c r="Y152" s="2"/>
      <c r="Z152" s="2"/>
      <c r="AA152" s="2"/>
      <c r="AB152" s="2"/>
      <c r="AC152" s="2"/>
      <c r="AD152" s="2"/>
    </row>
    <row r="153" spans="1:30" ht="12.75">
      <c r="A153" s="30" t="s">
        <v>187</v>
      </c>
      <c r="B153" s="30">
        <v>1400</v>
      </c>
      <c r="C153" s="30" t="s">
        <v>508</v>
      </c>
      <c r="D153" s="30" t="s">
        <v>508</v>
      </c>
      <c r="E153" s="30">
        <v>33.7</v>
      </c>
      <c r="F153" s="30">
        <v>59.8</v>
      </c>
      <c r="G153" s="30">
        <v>61</v>
      </c>
      <c r="H153" s="30" t="s">
        <v>508</v>
      </c>
      <c r="I153" s="30">
        <v>10.95</v>
      </c>
      <c r="J153" s="30">
        <v>0.32</v>
      </c>
      <c r="K153" s="30">
        <v>0.21</v>
      </c>
      <c r="L153" s="30" t="s">
        <v>508</v>
      </c>
      <c r="M153" s="49">
        <v>3</v>
      </c>
      <c r="N153" s="30">
        <v>30</v>
      </c>
      <c r="O153" s="30">
        <v>27</v>
      </c>
      <c r="P153" s="5"/>
      <c r="Q153" s="5"/>
      <c r="R153" s="5"/>
      <c r="S153" s="5"/>
      <c r="T153" s="5"/>
      <c r="U153" s="5"/>
      <c r="V153" s="2"/>
      <c r="W153" s="2"/>
      <c r="X153" s="2"/>
      <c r="Y153" s="2"/>
      <c r="Z153" s="2"/>
      <c r="AA153" s="2"/>
      <c r="AB153" s="2"/>
      <c r="AC153" s="2"/>
      <c r="AD153" s="2"/>
    </row>
    <row r="154" spans="1:30" ht="12.75">
      <c r="A154" s="30" t="s">
        <v>187</v>
      </c>
      <c r="B154" s="30">
        <v>1400</v>
      </c>
      <c r="C154" s="30" t="s">
        <v>508</v>
      </c>
      <c r="D154" s="30" t="s">
        <v>508</v>
      </c>
      <c r="E154" s="30">
        <v>32.3</v>
      </c>
      <c r="F154" s="30">
        <v>58.1</v>
      </c>
      <c r="G154" s="30">
        <v>58</v>
      </c>
      <c r="H154" s="30" t="s">
        <v>508</v>
      </c>
      <c r="I154" s="30">
        <v>10.15</v>
      </c>
      <c r="J154" s="30">
        <v>0.3</v>
      </c>
      <c r="K154" s="30">
        <v>0.2</v>
      </c>
      <c r="L154" s="30">
        <v>1</v>
      </c>
      <c r="M154" s="49">
        <v>4</v>
      </c>
      <c r="N154" s="30">
        <v>30</v>
      </c>
      <c r="O154" s="30">
        <v>21.6</v>
      </c>
      <c r="P154" s="5"/>
      <c r="Q154" s="5"/>
      <c r="R154" s="5"/>
      <c r="S154" s="5"/>
      <c r="T154" s="5"/>
      <c r="U154" s="5"/>
      <c r="V154" s="2"/>
      <c r="W154" s="2"/>
      <c r="X154" s="2"/>
      <c r="Y154" s="2"/>
      <c r="Z154" s="2"/>
      <c r="AA154" s="2"/>
      <c r="AB154" s="2"/>
      <c r="AC154" s="2"/>
      <c r="AD154" s="2"/>
    </row>
    <row r="155" spans="1:30" ht="12.75">
      <c r="A155" s="30" t="s">
        <v>187</v>
      </c>
      <c r="B155" s="30">
        <v>1400</v>
      </c>
      <c r="C155" s="30" t="s">
        <v>508</v>
      </c>
      <c r="D155" s="30" t="s">
        <v>508</v>
      </c>
      <c r="E155" s="30">
        <v>30.8</v>
      </c>
      <c r="F155" s="30">
        <v>56.2</v>
      </c>
      <c r="G155" s="30">
        <v>55</v>
      </c>
      <c r="H155" s="30" t="s">
        <v>508</v>
      </c>
      <c r="I155" s="30">
        <v>9.27</v>
      </c>
      <c r="J155" s="30">
        <v>0.27</v>
      </c>
      <c r="K155" s="30">
        <v>0.18</v>
      </c>
      <c r="L155" s="30">
        <v>2</v>
      </c>
      <c r="M155" s="49">
        <v>5</v>
      </c>
      <c r="N155" s="30">
        <v>30</v>
      </c>
      <c r="O155" s="30">
        <v>16.2</v>
      </c>
      <c r="P155" s="5"/>
      <c r="Q155" s="5"/>
      <c r="R155" s="5"/>
      <c r="S155" s="5"/>
      <c r="T155" s="5"/>
      <c r="U155" s="5"/>
      <c r="V155" s="2"/>
      <c r="W155" s="2"/>
      <c r="X155" s="2"/>
      <c r="Y155" s="2"/>
      <c r="Z155" s="2"/>
      <c r="AA155" s="2"/>
      <c r="AB155" s="2"/>
      <c r="AC155" s="2"/>
      <c r="AD155" s="2"/>
    </row>
    <row r="156" spans="1:30" ht="12.75">
      <c r="A156" s="30" t="s">
        <v>187</v>
      </c>
      <c r="B156" s="30">
        <v>1400</v>
      </c>
      <c r="C156" s="30" t="s">
        <v>508</v>
      </c>
      <c r="D156" s="30" t="s">
        <v>508</v>
      </c>
      <c r="E156" s="30">
        <v>29.6</v>
      </c>
      <c r="F156" s="30">
        <v>54.7</v>
      </c>
      <c r="G156" s="30">
        <v>53</v>
      </c>
      <c r="H156" s="30" t="s">
        <v>508</v>
      </c>
      <c r="I156" s="30">
        <v>8.49</v>
      </c>
      <c r="J156" s="30">
        <v>0.24</v>
      </c>
      <c r="K156" s="30">
        <v>0.17</v>
      </c>
      <c r="L156" s="30">
        <v>3</v>
      </c>
      <c r="M156" s="30">
        <v>6</v>
      </c>
      <c r="N156" s="30">
        <v>30</v>
      </c>
      <c r="O156" s="30">
        <v>11.7</v>
      </c>
      <c r="P156" s="5"/>
      <c r="Q156" s="5"/>
      <c r="R156" s="5"/>
      <c r="S156" s="5"/>
      <c r="T156" s="5"/>
      <c r="U156" s="5"/>
      <c r="V156" s="2"/>
      <c r="W156" s="2"/>
      <c r="X156" s="2"/>
      <c r="Y156" s="2"/>
      <c r="Z156" s="2"/>
      <c r="AA156" s="2"/>
      <c r="AB156" s="2"/>
      <c r="AC156" s="2"/>
      <c r="AD156" s="2"/>
    </row>
    <row r="157" spans="1:30" ht="12.75">
      <c r="A157" s="30" t="s">
        <v>187</v>
      </c>
      <c r="B157" s="30">
        <v>1400</v>
      </c>
      <c r="C157" s="30" t="s">
        <v>508</v>
      </c>
      <c r="D157" s="30" t="s">
        <v>508</v>
      </c>
      <c r="E157" s="30">
        <v>27.2</v>
      </c>
      <c r="F157" s="30">
        <v>45</v>
      </c>
      <c r="G157" s="30">
        <v>37</v>
      </c>
      <c r="H157" s="30" t="s">
        <v>508</v>
      </c>
      <c r="I157" s="30">
        <v>6</v>
      </c>
      <c r="J157" s="30">
        <v>0.16</v>
      </c>
      <c r="K157" s="30">
        <v>0.12</v>
      </c>
      <c r="L157" s="30">
        <v>4</v>
      </c>
      <c r="M157" s="30">
        <v>7</v>
      </c>
      <c r="N157" s="30">
        <v>30</v>
      </c>
      <c r="O157" s="30">
        <v>0</v>
      </c>
      <c r="P157" s="5"/>
      <c r="Q157" s="5"/>
      <c r="R157" s="5"/>
      <c r="S157" s="5"/>
      <c r="T157" s="5"/>
      <c r="U157" s="5"/>
      <c r="V157" s="2"/>
      <c r="W157" s="2"/>
      <c r="X157" s="2"/>
      <c r="Y157" s="2"/>
      <c r="Z157" s="2"/>
      <c r="AA157" s="2"/>
      <c r="AB157" s="2"/>
      <c r="AC157" s="2"/>
      <c r="AD157" s="2"/>
    </row>
    <row r="158" spans="1:30" ht="12.75">
      <c r="A158" s="30" t="s">
        <v>187</v>
      </c>
      <c r="B158" s="30">
        <v>1400</v>
      </c>
      <c r="C158" s="30" t="s">
        <v>508</v>
      </c>
      <c r="D158" s="30" t="s">
        <v>508</v>
      </c>
      <c r="E158" s="30">
        <v>27</v>
      </c>
      <c r="F158" s="30">
        <v>45.8</v>
      </c>
      <c r="G158" s="30">
        <v>39</v>
      </c>
      <c r="H158" s="30" t="s">
        <v>508</v>
      </c>
      <c r="I158" s="30">
        <v>6.2</v>
      </c>
      <c r="J158" s="30">
        <v>0.16</v>
      </c>
      <c r="K158" s="30">
        <v>0.12</v>
      </c>
      <c r="L158" s="30">
        <v>5</v>
      </c>
      <c r="M158" s="30">
        <v>8</v>
      </c>
      <c r="N158" s="30">
        <v>30</v>
      </c>
      <c r="O158" s="30">
        <v>0</v>
      </c>
      <c r="P158" s="5"/>
      <c r="Q158" s="5"/>
      <c r="R158" s="5"/>
      <c r="S158" s="5"/>
      <c r="T158" s="5"/>
      <c r="U158" s="5"/>
      <c r="V158" s="2"/>
      <c r="W158" s="2"/>
      <c r="X158" s="2"/>
      <c r="Y158" s="2"/>
      <c r="Z158" s="2"/>
      <c r="AA158" s="2"/>
      <c r="AB158" s="2"/>
      <c r="AC158" s="2"/>
      <c r="AD158" s="2"/>
    </row>
    <row r="159" spans="1:30" ht="12.75">
      <c r="A159" s="30" t="s">
        <v>187</v>
      </c>
      <c r="B159" s="30">
        <v>1400</v>
      </c>
      <c r="C159" s="30" t="s">
        <v>508</v>
      </c>
      <c r="D159" s="30" t="s">
        <v>508</v>
      </c>
      <c r="E159" s="30">
        <v>26.9</v>
      </c>
      <c r="F159" s="30">
        <v>47.3</v>
      </c>
      <c r="G159" s="30">
        <v>41</v>
      </c>
      <c r="H159" s="30" t="s">
        <v>508</v>
      </c>
      <c r="I159" s="30">
        <v>6.53</v>
      </c>
      <c r="J159" s="30">
        <v>0.16</v>
      </c>
      <c r="K159" s="30">
        <v>0.12</v>
      </c>
      <c r="L159" s="30">
        <v>6</v>
      </c>
      <c r="M159" s="30">
        <v>9</v>
      </c>
      <c r="N159" s="30">
        <v>30</v>
      </c>
      <c r="O159" s="30">
        <v>0</v>
      </c>
      <c r="P159" s="5"/>
      <c r="Q159" s="5"/>
      <c r="R159" s="5"/>
      <c r="S159" s="5"/>
      <c r="T159" s="5"/>
      <c r="U159" s="5"/>
      <c r="V159" s="2"/>
      <c r="W159" s="2"/>
      <c r="X159" s="2"/>
      <c r="Y159" s="2"/>
      <c r="Z159" s="2"/>
      <c r="AA159" s="2"/>
      <c r="AB159" s="2"/>
      <c r="AC159" s="2"/>
      <c r="AD159" s="2"/>
    </row>
    <row r="160" spans="1:30" ht="12.75">
      <c r="A160" s="30" t="s">
        <v>187</v>
      </c>
      <c r="B160" s="30">
        <v>1400</v>
      </c>
      <c r="C160" s="30" t="s">
        <v>508</v>
      </c>
      <c r="D160" s="30" t="s">
        <v>508</v>
      </c>
      <c r="E160" s="30">
        <v>26.8</v>
      </c>
      <c r="F160" s="30">
        <v>49.5</v>
      </c>
      <c r="G160" s="30">
        <v>44</v>
      </c>
      <c r="H160" s="30" t="s">
        <v>508</v>
      </c>
      <c r="I160" s="30">
        <v>7.04</v>
      </c>
      <c r="J160" s="30">
        <v>0.27</v>
      </c>
      <c r="K160" s="30">
        <v>0.17</v>
      </c>
      <c r="L160" s="30">
        <v>7</v>
      </c>
      <c r="M160" s="30">
        <v>10</v>
      </c>
      <c r="N160" s="30">
        <v>30</v>
      </c>
      <c r="O160" s="30">
        <v>0</v>
      </c>
      <c r="P160" s="5"/>
      <c r="Q160" s="5"/>
      <c r="R160" s="5"/>
      <c r="S160" s="5"/>
      <c r="T160" s="5"/>
      <c r="U160" s="5"/>
      <c r="V160" s="2"/>
      <c r="W160" s="2"/>
      <c r="X160" s="2"/>
      <c r="Y160" s="2"/>
      <c r="Z160" s="2"/>
      <c r="AA160" s="2"/>
      <c r="AB160" s="2"/>
      <c r="AC160" s="2"/>
      <c r="AD160" s="2"/>
    </row>
    <row r="161" spans="1:30" ht="12.75">
      <c r="A161" s="30" t="s">
        <v>187</v>
      </c>
      <c r="B161" s="30">
        <v>1400</v>
      </c>
      <c r="C161" s="30" t="s">
        <v>508</v>
      </c>
      <c r="D161" s="30" t="s">
        <v>508</v>
      </c>
      <c r="E161" s="30">
        <v>27</v>
      </c>
      <c r="F161" s="30">
        <v>52.6</v>
      </c>
      <c r="G161" s="30">
        <v>49</v>
      </c>
      <c r="H161" s="30" t="s">
        <v>508</v>
      </c>
      <c r="I161" s="30">
        <v>7.8</v>
      </c>
      <c r="J161" s="30">
        <v>0.26</v>
      </c>
      <c r="K161" s="30">
        <v>0.17</v>
      </c>
      <c r="L161" s="30">
        <v>8</v>
      </c>
      <c r="M161" s="30">
        <v>11</v>
      </c>
      <c r="N161" s="30">
        <v>30</v>
      </c>
      <c r="O161" s="31">
        <v>0</v>
      </c>
      <c r="P161" s="5"/>
      <c r="Q161" s="5"/>
      <c r="R161" s="5"/>
      <c r="S161" s="5"/>
      <c r="T161" s="5"/>
      <c r="U161" s="5"/>
      <c r="V161" s="2"/>
      <c r="W161" s="2"/>
      <c r="X161" s="2"/>
      <c r="Y161" s="2"/>
      <c r="Z161" s="2"/>
      <c r="AA161" s="2"/>
      <c r="AB161" s="2"/>
      <c r="AC161" s="2"/>
      <c r="AD161" s="2"/>
    </row>
    <row r="162" spans="1:30" ht="13.5" thickBot="1">
      <c r="A162" s="50" t="s">
        <v>187</v>
      </c>
      <c r="B162" s="50">
        <v>1400</v>
      </c>
      <c r="C162" s="50" t="s">
        <v>508</v>
      </c>
      <c r="D162" s="50" t="s">
        <v>508</v>
      </c>
      <c r="E162" s="50">
        <v>27.6</v>
      </c>
      <c r="F162" s="50">
        <v>56.6</v>
      </c>
      <c r="G162" s="50">
        <v>56</v>
      </c>
      <c r="H162" s="50" t="s">
        <v>508</v>
      </c>
      <c r="I162" s="50">
        <v>8.88</v>
      </c>
      <c r="J162" s="50">
        <v>0.26</v>
      </c>
      <c r="K162" s="50">
        <v>0.16</v>
      </c>
      <c r="L162" s="50">
        <v>9</v>
      </c>
      <c r="M162" s="50">
        <v>12</v>
      </c>
      <c r="N162" s="50">
        <v>30</v>
      </c>
      <c r="O162" s="50">
        <v>0</v>
      </c>
      <c r="P162" s="5"/>
      <c r="Q162" s="5"/>
      <c r="R162" s="5"/>
      <c r="S162" s="5"/>
      <c r="T162" s="5"/>
      <c r="U162" s="5"/>
      <c r="V162" s="2"/>
      <c r="W162" s="2"/>
      <c r="X162" s="2"/>
      <c r="Y162" s="2"/>
      <c r="Z162" s="2"/>
      <c r="AA162" s="2"/>
      <c r="AB162" s="2"/>
      <c r="AC162" s="2"/>
      <c r="AD162" s="2"/>
    </row>
    <row r="163" spans="1:30" ht="12.75">
      <c r="A163" s="30" t="s">
        <v>188</v>
      </c>
      <c r="B163" s="30">
        <v>1000</v>
      </c>
      <c r="C163" s="30">
        <v>550</v>
      </c>
      <c r="D163" s="49">
        <v>0.64</v>
      </c>
      <c r="E163" s="30">
        <v>15.2</v>
      </c>
      <c r="F163" s="30">
        <v>50</v>
      </c>
      <c r="G163" s="30">
        <v>45</v>
      </c>
      <c r="H163" s="30">
        <v>20</v>
      </c>
      <c r="I163" s="53">
        <v>7.1</v>
      </c>
      <c r="J163" s="49">
        <v>0.21</v>
      </c>
      <c r="K163" s="49">
        <v>0.13</v>
      </c>
      <c r="L163" s="30" t="s">
        <v>508</v>
      </c>
      <c r="M163" s="30" t="s">
        <v>508</v>
      </c>
      <c r="N163" s="30" t="s">
        <v>508</v>
      </c>
      <c r="O163" s="30" t="s">
        <v>508</v>
      </c>
      <c r="P163" s="5"/>
      <c r="Q163" s="5"/>
      <c r="R163" s="5"/>
      <c r="S163" s="5"/>
      <c r="T163" s="5"/>
      <c r="U163" s="5"/>
      <c r="V163" s="2"/>
      <c r="W163" s="2"/>
      <c r="X163" s="2"/>
      <c r="Y163" s="2"/>
      <c r="Z163" s="2"/>
      <c r="AA163" s="2"/>
      <c r="AB163" s="2"/>
      <c r="AC163" s="2"/>
      <c r="AD163" s="2"/>
    </row>
    <row r="164" spans="1:30" ht="12.75">
      <c r="A164" s="30" t="s">
        <v>188</v>
      </c>
      <c r="B164" s="30">
        <v>1000</v>
      </c>
      <c r="C164" s="30">
        <v>550</v>
      </c>
      <c r="D164" s="49">
        <v>1.77</v>
      </c>
      <c r="E164" s="30">
        <v>16.1</v>
      </c>
      <c r="F164" s="30">
        <v>60</v>
      </c>
      <c r="G164" s="30">
        <v>61</v>
      </c>
      <c r="H164" s="30">
        <v>35</v>
      </c>
      <c r="I164" s="53">
        <v>9.8</v>
      </c>
      <c r="J164" s="49">
        <v>0.36</v>
      </c>
      <c r="K164" s="49">
        <v>0.19</v>
      </c>
      <c r="L164" s="30" t="s">
        <v>508</v>
      </c>
      <c r="M164" s="30" t="s">
        <v>508</v>
      </c>
      <c r="N164" s="30" t="s">
        <v>508</v>
      </c>
      <c r="O164" s="30" t="s">
        <v>508</v>
      </c>
      <c r="P164" s="5"/>
      <c r="Q164" s="5"/>
      <c r="R164" s="5"/>
      <c r="S164" s="5"/>
      <c r="T164" s="5"/>
      <c r="U164" s="5"/>
      <c r="V164" s="2"/>
      <c r="W164" s="2"/>
      <c r="X164" s="2"/>
      <c r="Y164" s="2"/>
      <c r="Z164" s="2"/>
      <c r="AA164" s="2"/>
      <c r="AB164" s="2"/>
      <c r="AC164" s="2"/>
      <c r="AD164" s="2"/>
    </row>
    <row r="165" spans="1:30" ht="12.75">
      <c r="A165" s="30" t="s">
        <v>188</v>
      </c>
      <c r="B165" s="30">
        <v>1000</v>
      </c>
      <c r="C165" s="30">
        <v>550</v>
      </c>
      <c r="D165" s="49">
        <v>2.68</v>
      </c>
      <c r="E165" s="30">
        <v>15.7</v>
      </c>
      <c r="F165" s="30">
        <v>70</v>
      </c>
      <c r="G165" s="30">
        <v>76</v>
      </c>
      <c r="H165" s="30">
        <v>48</v>
      </c>
      <c r="I165" s="53">
        <v>12.4</v>
      </c>
      <c r="J165" s="49">
        <v>0.49</v>
      </c>
      <c r="K165" s="49">
        <v>0.24</v>
      </c>
      <c r="L165" s="30" t="s">
        <v>508</v>
      </c>
      <c r="M165" s="30" t="s">
        <v>508</v>
      </c>
      <c r="N165" s="30" t="s">
        <v>508</v>
      </c>
      <c r="O165" s="30" t="s">
        <v>508</v>
      </c>
      <c r="P165" s="5"/>
      <c r="Q165" s="5"/>
      <c r="R165" s="5"/>
      <c r="S165" s="5"/>
      <c r="T165" s="5"/>
      <c r="U165" s="5"/>
      <c r="V165" s="2"/>
      <c r="W165" s="2"/>
      <c r="X165" s="2"/>
      <c r="Y165" s="2"/>
      <c r="Z165" s="2"/>
      <c r="AA165" s="2"/>
      <c r="AB165" s="2"/>
      <c r="AC165" s="2"/>
      <c r="AD165" s="2"/>
    </row>
    <row r="166" spans="1:30" ht="12.75">
      <c r="A166" s="30" t="s">
        <v>188</v>
      </c>
      <c r="B166" s="30">
        <v>1000</v>
      </c>
      <c r="C166" s="30">
        <v>550</v>
      </c>
      <c r="D166" s="49">
        <v>3.34</v>
      </c>
      <c r="E166" s="30">
        <v>14.8</v>
      </c>
      <c r="F166" s="30">
        <v>80</v>
      </c>
      <c r="G166" s="30">
        <v>90</v>
      </c>
      <c r="H166" s="30">
        <v>61</v>
      </c>
      <c r="I166" s="53">
        <v>14.9</v>
      </c>
      <c r="J166" s="49">
        <v>0.61</v>
      </c>
      <c r="K166" s="49">
        <v>0.29</v>
      </c>
      <c r="L166" s="30" t="s">
        <v>508</v>
      </c>
      <c r="M166" s="30" t="s">
        <v>508</v>
      </c>
      <c r="N166" s="30" t="s">
        <v>508</v>
      </c>
      <c r="O166" s="30" t="s">
        <v>508</v>
      </c>
      <c r="P166" s="5"/>
      <c r="Q166" s="5"/>
      <c r="R166" s="5"/>
      <c r="S166" s="5"/>
      <c r="T166" s="5"/>
      <c r="U166" s="5"/>
      <c r="V166" s="2"/>
      <c r="W166" s="2"/>
      <c r="X166" s="2"/>
      <c r="Y166" s="2"/>
      <c r="Z166" s="2"/>
      <c r="AA166" s="2"/>
      <c r="AB166" s="2"/>
      <c r="AC166" s="2"/>
      <c r="AD166" s="2"/>
    </row>
    <row r="167" spans="1:30" ht="13.5" thickBot="1">
      <c r="A167" s="50" t="s">
        <v>188</v>
      </c>
      <c r="B167" s="50">
        <v>1000</v>
      </c>
      <c r="C167" s="50">
        <v>550</v>
      </c>
      <c r="D167" s="51">
        <v>3.75</v>
      </c>
      <c r="E167" s="50">
        <v>13.7</v>
      </c>
      <c r="F167" s="50">
        <v>90</v>
      </c>
      <c r="G167" s="50">
        <v>104</v>
      </c>
      <c r="H167" s="50">
        <v>72</v>
      </c>
      <c r="I167" s="54">
        <v>17.3</v>
      </c>
      <c r="J167" s="51">
        <v>0.73</v>
      </c>
      <c r="K167" s="51">
        <v>0.34</v>
      </c>
      <c r="L167" s="50" t="s">
        <v>508</v>
      </c>
      <c r="M167" s="50" t="s">
        <v>508</v>
      </c>
      <c r="N167" s="50" t="s">
        <v>508</v>
      </c>
      <c r="O167" s="50" t="s">
        <v>508</v>
      </c>
      <c r="P167" s="5"/>
      <c r="Q167" s="5"/>
      <c r="R167" s="5"/>
      <c r="S167" s="5"/>
      <c r="T167" s="5"/>
      <c r="U167" s="5"/>
      <c r="V167" s="2"/>
      <c r="W167" s="2"/>
      <c r="X167" s="2"/>
      <c r="Y167" s="2"/>
      <c r="Z167" s="2"/>
      <c r="AA167" s="2"/>
      <c r="AB167" s="2"/>
      <c r="AC167" s="2"/>
      <c r="AD167" s="2"/>
    </row>
    <row r="168" spans="1:30" ht="12.75">
      <c r="A168" s="30" t="s">
        <v>188</v>
      </c>
      <c r="B168" s="30">
        <v>1000</v>
      </c>
      <c r="C168" s="30">
        <v>600</v>
      </c>
      <c r="D168" s="49">
        <v>0.64</v>
      </c>
      <c r="E168" s="30">
        <v>16.2</v>
      </c>
      <c r="F168" s="30">
        <v>50</v>
      </c>
      <c r="G168" s="30">
        <v>45</v>
      </c>
      <c r="H168" s="30">
        <v>20</v>
      </c>
      <c r="I168" s="53">
        <v>7</v>
      </c>
      <c r="J168" s="49">
        <v>0.21</v>
      </c>
      <c r="K168" s="49">
        <v>0.13</v>
      </c>
      <c r="L168" s="30" t="s">
        <v>508</v>
      </c>
      <c r="M168" s="30" t="s">
        <v>508</v>
      </c>
      <c r="N168" s="30" t="s">
        <v>508</v>
      </c>
      <c r="O168" s="30" t="s">
        <v>508</v>
      </c>
      <c r="P168" s="5"/>
      <c r="Q168" s="5"/>
      <c r="R168" s="5"/>
      <c r="S168" s="5"/>
      <c r="T168" s="5"/>
      <c r="U168" s="5"/>
      <c r="V168" s="2"/>
      <c r="W168" s="2"/>
      <c r="X168" s="2"/>
      <c r="Y168" s="2"/>
      <c r="Z168" s="2"/>
      <c r="AA168" s="2"/>
      <c r="AB168" s="2"/>
      <c r="AC168" s="2"/>
      <c r="AD168" s="2"/>
    </row>
    <row r="169" spans="1:30" ht="12.75">
      <c r="A169" s="30" t="s">
        <v>188</v>
      </c>
      <c r="B169" s="30">
        <v>1000</v>
      </c>
      <c r="C169" s="30">
        <v>600</v>
      </c>
      <c r="D169" s="49">
        <v>1.77</v>
      </c>
      <c r="E169" s="30">
        <v>17.2</v>
      </c>
      <c r="F169" s="30">
        <v>60</v>
      </c>
      <c r="G169" s="30">
        <v>61</v>
      </c>
      <c r="H169" s="30">
        <v>35</v>
      </c>
      <c r="I169" s="53">
        <v>9.5</v>
      </c>
      <c r="J169" s="49">
        <v>0.34</v>
      </c>
      <c r="K169" s="49">
        <v>0.18</v>
      </c>
      <c r="L169" s="30" t="s">
        <v>508</v>
      </c>
      <c r="M169" s="30" t="s">
        <v>508</v>
      </c>
      <c r="N169" s="30" t="s">
        <v>508</v>
      </c>
      <c r="O169" s="30" t="s">
        <v>508</v>
      </c>
      <c r="P169" s="5"/>
      <c r="Q169" s="5"/>
      <c r="R169" s="5"/>
      <c r="S169" s="5"/>
      <c r="T169" s="5"/>
      <c r="U169" s="5"/>
      <c r="V169" s="2"/>
      <c r="W169" s="2"/>
      <c r="X169" s="2"/>
      <c r="Y169" s="2"/>
      <c r="Z169" s="2"/>
      <c r="AA169" s="2"/>
      <c r="AB169" s="2"/>
      <c r="AC169" s="2"/>
      <c r="AD169" s="2"/>
    </row>
    <row r="170" spans="1:30" ht="12.75">
      <c r="A170" s="30" t="s">
        <v>188</v>
      </c>
      <c r="B170" s="30">
        <v>1000</v>
      </c>
      <c r="C170" s="30">
        <v>600</v>
      </c>
      <c r="D170" s="49">
        <v>2.68</v>
      </c>
      <c r="E170" s="30">
        <v>16.8</v>
      </c>
      <c r="F170" s="30">
        <v>70</v>
      </c>
      <c r="G170" s="30">
        <v>76</v>
      </c>
      <c r="H170" s="30">
        <v>48</v>
      </c>
      <c r="I170" s="53">
        <v>11.9</v>
      </c>
      <c r="J170" s="49">
        <v>0.45</v>
      </c>
      <c r="K170" s="49">
        <v>0.23</v>
      </c>
      <c r="L170" s="30" t="s">
        <v>508</v>
      </c>
      <c r="M170" s="30" t="s">
        <v>508</v>
      </c>
      <c r="N170" s="30" t="s">
        <v>508</v>
      </c>
      <c r="O170" s="30" t="s">
        <v>508</v>
      </c>
      <c r="P170" s="5"/>
      <c r="Q170" s="5"/>
      <c r="R170" s="5"/>
      <c r="S170" s="5"/>
      <c r="T170" s="5"/>
      <c r="U170" s="5"/>
      <c r="V170" s="2"/>
      <c r="W170" s="2"/>
      <c r="X170" s="2"/>
      <c r="Y170" s="2"/>
      <c r="Z170" s="2"/>
      <c r="AA170" s="2"/>
      <c r="AB170" s="2"/>
      <c r="AC170" s="2"/>
      <c r="AD170" s="2"/>
    </row>
    <row r="171" spans="1:30" ht="12.75">
      <c r="A171" s="30" t="s">
        <v>188</v>
      </c>
      <c r="B171" s="30">
        <v>1000</v>
      </c>
      <c r="C171" s="30">
        <v>600</v>
      </c>
      <c r="D171" s="49">
        <v>3.34</v>
      </c>
      <c r="E171" s="30">
        <v>15.8</v>
      </c>
      <c r="F171" s="30">
        <v>80</v>
      </c>
      <c r="G171" s="30">
        <v>90</v>
      </c>
      <c r="H171" s="30">
        <v>61</v>
      </c>
      <c r="I171" s="53">
        <v>14.3</v>
      </c>
      <c r="J171" s="49">
        <v>0.56</v>
      </c>
      <c r="K171" s="49">
        <v>0.27</v>
      </c>
      <c r="L171" s="30" t="s">
        <v>508</v>
      </c>
      <c r="M171" s="30" t="s">
        <v>508</v>
      </c>
      <c r="N171" s="30" t="s">
        <v>508</v>
      </c>
      <c r="O171" s="30" t="s">
        <v>508</v>
      </c>
      <c r="P171" s="5"/>
      <c r="Q171" s="5"/>
      <c r="R171" s="5"/>
      <c r="S171" s="5"/>
      <c r="T171" s="5"/>
      <c r="U171" s="5"/>
      <c r="V171" s="2"/>
      <c r="W171" s="2"/>
      <c r="X171" s="2"/>
      <c r="Y171" s="2"/>
      <c r="Z171" s="2"/>
      <c r="AA171" s="2"/>
      <c r="AB171" s="2"/>
      <c r="AC171" s="2"/>
      <c r="AD171" s="2"/>
    </row>
    <row r="172" spans="1:30" ht="13.5" thickBot="1">
      <c r="A172" s="50" t="s">
        <v>188</v>
      </c>
      <c r="B172" s="50">
        <v>1000</v>
      </c>
      <c r="C172" s="50">
        <v>600</v>
      </c>
      <c r="D172" s="51">
        <v>3.75</v>
      </c>
      <c r="E172" s="50">
        <v>14.6</v>
      </c>
      <c r="F172" s="50">
        <v>90</v>
      </c>
      <c r="G172" s="50">
        <v>104</v>
      </c>
      <c r="H172" s="50">
        <v>72</v>
      </c>
      <c r="I172" s="54">
        <v>16.5</v>
      </c>
      <c r="J172" s="51">
        <v>0.66</v>
      </c>
      <c r="K172" s="51">
        <v>0.32</v>
      </c>
      <c r="L172" s="50" t="s">
        <v>508</v>
      </c>
      <c r="M172" s="50" t="s">
        <v>508</v>
      </c>
      <c r="N172" s="50" t="s">
        <v>508</v>
      </c>
      <c r="O172" s="50" t="s">
        <v>508</v>
      </c>
      <c r="P172" s="5"/>
      <c r="Q172" s="5"/>
      <c r="R172" s="5"/>
      <c r="S172" s="5"/>
      <c r="T172" s="5"/>
      <c r="U172" s="5"/>
      <c r="V172" s="2"/>
      <c r="W172" s="2"/>
      <c r="X172" s="2"/>
      <c r="Y172" s="2"/>
      <c r="Z172" s="2"/>
      <c r="AA172" s="2"/>
      <c r="AB172" s="2"/>
      <c r="AC172" s="2"/>
      <c r="AD172" s="2"/>
    </row>
    <row r="173" spans="1:30" ht="12.75">
      <c r="A173" s="30" t="s">
        <v>188</v>
      </c>
      <c r="B173" s="30">
        <v>1000</v>
      </c>
      <c r="C173" s="30">
        <v>650</v>
      </c>
      <c r="D173" s="49">
        <v>0.64</v>
      </c>
      <c r="E173" s="30">
        <v>17.3</v>
      </c>
      <c r="F173" s="30">
        <v>50</v>
      </c>
      <c r="G173" s="30">
        <v>45</v>
      </c>
      <c r="H173" s="30">
        <v>20</v>
      </c>
      <c r="I173" s="53">
        <v>6.9</v>
      </c>
      <c r="J173" s="49">
        <v>0.2</v>
      </c>
      <c r="K173" s="49">
        <v>0.12</v>
      </c>
      <c r="L173" s="30" t="s">
        <v>508</v>
      </c>
      <c r="M173" s="30" t="s">
        <v>508</v>
      </c>
      <c r="N173" s="30" t="s">
        <v>508</v>
      </c>
      <c r="O173" s="30" t="s">
        <v>508</v>
      </c>
      <c r="P173" s="5"/>
      <c r="Q173" s="5"/>
      <c r="R173" s="5"/>
      <c r="S173" s="5"/>
      <c r="T173" s="5"/>
      <c r="U173" s="5"/>
      <c r="V173" s="2"/>
      <c r="W173" s="2"/>
      <c r="X173" s="2"/>
      <c r="Y173" s="2"/>
      <c r="Z173" s="2"/>
      <c r="AA173" s="2"/>
      <c r="AB173" s="2"/>
      <c r="AC173" s="2"/>
      <c r="AD173" s="2"/>
    </row>
    <row r="174" spans="1:30" ht="12.75">
      <c r="A174" s="30" t="s">
        <v>188</v>
      </c>
      <c r="B174" s="30">
        <v>1000</v>
      </c>
      <c r="C174" s="30">
        <v>650</v>
      </c>
      <c r="D174" s="49">
        <v>1.77</v>
      </c>
      <c r="E174" s="30">
        <v>18.2</v>
      </c>
      <c r="F174" s="30">
        <v>60</v>
      </c>
      <c r="G174" s="30">
        <v>61</v>
      </c>
      <c r="H174" s="30">
        <v>35</v>
      </c>
      <c r="I174" s="53">
        <v>9.2</v>
      </c>
      <c r="J174" s="49">
        <v>0.32</v>
      </c>
      <c r="K174" s="49">
        <v>0.17</v>
      </c>
      <c r="L174" s="30" t="s">
        <v>508</v>
      </c>
      <c r="M174" s="30" t="s">
        <v>508</v>
      </c>
      <c r="N174" s="30" t="s">
        <v>508</v>
      </c>
      <c r="O174" s="30" t="s">
        <v>508</v>
      </c>
      <c r="P174" s="5"/>
      <c r="Q174" s="5"/>
      <c r="R174" s="5"/>
      <c r="S174" s="5"/>
      <c r="T174" s="5"/>
      <c r="U174" s="5"/>
      <c r="V174" s="2"/>
      <c r="W174" s="2"/>
      <c r="X174" s="2"/>
      <c r="Y174" s="2"/>
      <c r="Z174" s="2"/>
      <c r="AA174" s="2"/>
      <c r="AB174" s="2"/>
      <c r="AC174" s="2"/>
      <c r="AD174" s="2"/>
    </row>
    <row r="175" spans="1:30" ht="12.75">
      <c r="A175" s="30" t="s">
        <v>188</v>
      </c>
      <c r="B175" s="30">
        <v>1000</v>
      </c>
      <c r="C175" s="30">
        <v>650</v>
      </c>
      <c r="D175" s="49">
        <v>2.68</v>
      </c>
      <c r="E175" s="30">
        <v>17.8</v>
      </c>
      <c r="F175" s="30">
        <v>70</v>
      </c>
      <c r="G175" s="30">
        <v>76</v>
      </c>
      <c r="H175" s="30">
        <v>48</v>
      </c>
      <c r="I175" s="53">
        <v>11.5</v>
      </c>
      <c r="J175" s="49">
        <v>0.42</v>
      </c>
      <c r="K175" s="49">
        <v>0.21</v>
      </c>
      <c r="L175" s="30" t="s">
        <v>508</v>
      </c>
      <c r="M175" s="30" t="s">
        <v>508</v>
      </c>
      <c r="N175" s="30" t="s">
        <v>508</v>
      </c>
      <c r="O175" s="30" t="s">
        <v>508</v>
      </c>
      <c r="P175" s="5"/>
      <c r="Q175" s="5"/>
      <c r="R175" s="5"/>
      <c r="S175" s="5"/>
      <c r="T175" s="5"/>
      <c r="U175" s="5"/>
      <c r="V175" s="2"/>
      <c r="W175" s="2"/>
      <c r="X175" s="2"/>
      <c r="Y175" s="2"/>
      <c r="Z175" s="2"/>
      <c r="AA175" s="2"/>
      <c r="AB175" s="2"/>
      <c r="AC175" s="2"/>
      <c r="AD175" s="2"/>
    </row>
    <row r="176" spans="1:30" ht="12.75">
      <c r="A176" s="30" t="s">
        <v>188</v>
      </c>
      <c r="B176" s="30">
        <v>1000</v>
      </c>
      <c r="C176" s="30">
        <v>650</v>
      </c>
      <c r="D176" s="49">
        <v>3.34</v>
      </c>
      <c r="E176" s="30">
        <v>16.8</v>
      </c>
      <c r="F176" s="30">
        <v>80</v>
      </c>
      <c r="G176" s="30">
        <v>90</v>
      </c>
      <c r="H176" s="30">
        <v>61</v>
      </c>
      <c r="I176" s="53">
        <v>13.7</v>
      </c>
      <c r="J176" s="49">
        <v>0.52</v>
      </c>
      <c r="K176" s="49">
        <v>0.26</v>
      </c>
      <c r="L176" s="30" t="s">
        <v>508</v>
      </c>
      <c r="M176" s="30" t="s">
        <v>508</v>
      </c>
      <c r="N176" s="30" t="s">
        <v>508</v>
      </c>
      <c r="O176" s="30" t="s">
        <v>508</v>
      </c>
      <c r="P176" s="5"/>
      <c r="Q176" s="5"/>
      <c r="R176" s="5"/>
      <c r="S176" s="5"/>
      <c r="T176" s="5"/>
      <c r="U176" s="5"/>
      <c r="V176" s="2"/>
      <c r="W176" s="2"/>
      <c r="X176" s="2"/>
      <c r="Y176" s="2"/>
      <c r="Z176" s="2"/>
      <c r="AA176" s="2"/>
      <c r="AB176" s="2"/>
      <c r="AC176" s="2"/>
      <c r="AD176" s="2"/>
    </row>
    <row r="177" spans="1:30" ht="13.5" thickBot="1">
      <c r="A177" s="50" t="s">
        <v>188</v>
      </c>
      <c r="B177" s="50">
        <v>1000</v>
      </c>
      <c r="C177" s="50">
        <v>650</v>
      </c>
      <c r="D177" s="51">
        <v>3.75</v>
      </c>
      <c r="E177" s="50">
        <v>15.5</v>
      </c>
      <c r="F177" s="50">
        <v>90</v>
      </c>
      <c r="G177" s="50">
        <v>104</v>
      </c>
      <c r="H177" s="50">
        <v>72</v>
      </c>
      <c r="I177" s="54">
        <v>15.9</v>
      </c>
      <c r="J177" s="51">
        <v>0.61</v>
      </c>
      <c r="K177" s="51">
        <v>0.3</v>
      </c>
      <c r="L177" s="50" t="s">
        <v>508</v>
      </c>
      <c r="M177" s="50" t="s">
        <v>508</v>
      </c>
      <c r="N177" s="50" t="s">
        <v>508</v>
      </c>
      <c r="O177" s="50" t="s">
        <v>508</v>
      </c>
      <c r="P177" s="5"/>
      <c r="Q177" s="5"/>
      <c r="R177" s="5"/>
      <c r="S177" s="5"/>
      <c r="T177" s="5"/>
      <c r="U177" s="5"/>
      <c r="V177" s="2"/>
      <c r="W177" s="2"/>
      <c r="X177" s="2"/>
      <c r="Y177" s="2"/>
      <c r="Z177" s="2"/>
      <c r="AA177" s="2"/>
      <c r="AB177" s="2"/>
      <c r="AC177" s="2"/>
      <c r="AD177" s="2"/>
    </row>
    <row r="178" spans="1:30" ht="12.75">
      <c r="A178" s="30" t="s">
        <v>188</v>
      </c>
      <c r="B178" s="30">
        <v>1000</v>
      </c>
      <c r="C178" s="30">
        <v>700</v>
      </c>
      <c r="D178" s="49">
        <v>0.64</v>
      </c>
      <c r="E178" s="30">
        <v>18.2</v>
      </c>
      <c r="F178" s="30">
        <v>50</v>
      </c>
      <c r="G178" s="30">
        <v>45</v>
      </c>
      <c r="H178" s="30">
        <v>20</v>
      </c>
      <c r="I178" s="53">
        <v>6.8</v>
      </c>
      <c r="J178" s="49">
        <v>0.19</v>
      </c>
      <c r="K178" s="49">
        <v>0.123</v>
      </c>
      <c r="L178" s="30" t="s">
        <v>508</v>
      </c>
      <c r="M178" s="30" t="s">
        <v>508</v>
      </c>
      <c r="N178" s="30" t="s">
        <v>508</v>
      </c>
      <c r="O178" s="30" t="s">
        <v>508</v>
      </c>
      <c r="P178" s="5"/>
      <c r="Q178" s="5"/>
      <c r="R178" s="5"/>
      <c r="S178" s="5"/>
      <c r="T178" s="5"/>
      <c r="U178" s="5"/>
      <c r="V178" s="2"/>
      <c r="W178" s="2"/>
      <c r="X178" s="2"/>
      <c r="Y178" s="2"/>
      <c r="Z178" s="2"/>
      <c r="AA178" s="2"/>
      <c r="AB178" s="2"/>
      <c r="AC178" s="2"/>
      <c r="AD178" s="2"/>
    </row>
    <row r="179" spans="1:30" ht="12.75">
      <c r="A179" s="30" t="s">
        <v>188</v>
      </c>
      <c r="B179" s="30">
        <v>1000</v>
      </c>
      <c r="C179" s="30">
        <v>700</v>
      </c>
      <c r="D179" s="49">
        <v>1.77</v>
      </c>
      <c r="E179" s="30">
        <v>19.3</v>
      </c>
      <c r="F179" s="30">
        <v>60</v>
      </c>
      <c r="G179" s="30">
        <v>61</v>
      </c>
      <c r="H179" s="30">
        <v>35</v>
      </c>
      <c r="I179" s="53">
        <v>8.8</v>
      </c>
      <c r="J179" s="49">
        <v>0.3</v>
      </c>
      <c r="K179" s="49">
        <v>0.16</v>
      </c>
      <c r="L179" s="30" t="s">
        <v>508</v>
      </c>
      <c r="M179" s="30" t="s">
        <v>508</v>
      </c>
      <c r="N179" s="30" t="s">
        <v>508</v>
      </c>
      <c r="O179" s="30" t="s">
        <v>508</v>
      </c>
      <c r="P179" s="5"/>
      <c r="Q179" s="5"/>
      <c r="R179" s="5"/>
      <c r="S179" s="5"/>
      <c r="T179" s="5"/>
      <c r="U179" s="5"/>
      <c r="V179" s="2"/>
      <c r="W179" s="2"/>
      <c r="X179" s="2"/>
      <c r="Y179" s="2"/>
      <c r="Z179" s="2"/>
      <c r="AA179" s="2"/>
      <c r="AB179" s="2"/>
      <c r="AC179" s="2"/>
      <c r="AD179" s="2"/>
    </row>
    <row r="180" spans="1:30" ht="12.75">
      <c r="A180" s="30" t="s">
        <v>188</v>
      </c>
      <c r="B180" s="30">
        <v>1000</v>
      </c>
      <c r="C180" s="30">
        <v>700</v>
      </c>
      <c r="D180" s="49">
        <v>2.68</v>
      </c>
      <c r="E180" s="30">
        <v>18.8</v>
      </c>
      <c r="F180" s="30">
        <v>70</v>
      </c>
      <c r="G180" s="30">
        <v>76</v>
      </c>
      <c r="H180" s="30">
        <v>48</v>
      </c>
      <c r="I180" s="53">
        <v>10.9</v>
      </c>
      <c r="J180" s="49">
        <v>0.39</v>
      </c>
      <c r="K180" s="49">
        <v>0.2</v>
      </c>
      <c r="L180" s="30" t="s">
        <v>508</v>
      </c>
      <c r="M180" s="30" t="s">
        <v>508</v>
      </c>
      <c r="N180" s="30" t="s">
        <v>508</v>
      </c>
      <c r="O180" s="30" t="s">
        <v>508</v>
      </c>
      <c r="P180" s="5"/>
      <c r="Q180" s="5"/>
      <c r="R180" s="5"/>
      <c r="S180" s="5"/>
      <c r="T180" s="5"/>
      <c r="U180" s="5"/>
      <c r="V180" s="2"/>
      <c r="W180" s="2"/>
      <c r="X180" s="2"/>
      <c r="Y180" s="2"/>
      <c r="Z180" s="2"/>
      <c r="AA180" s="2"/>
      <c r="AB180" s="2"/>
      <c r="AC180" s="2"/>
      <c r="AD180" s="2"/>
    </row>
    <row r="181" spans="1:30" ht="12.75">
      <c r="A181" s="30" t="s">
        <v>188</v>
      </c>
      <c r="B181" s="30">
        <v>1000</v>
      </c>
      <c r="C181" s="30">
        <v>700</v>
      </c>
      <c r="D181" s="49">
        <v>3.34</v>
      </c>
      <c r="E181" s="30">
        <v>17.8</v>
      </c>
      <c r="F181" s="30">
        <v>80</v>
      </c>
      <c r="G181" s="30">
        <v>90</v>
      </c>
      <c r="H181" s="30">
        <v>61</v>
      </c>
      <c r="I181" s="53">
        <v>13</v>
      </c>
      <c r="J181" s="49">
        <v>0.48</v>
      </c>
      <c r="K181" s="49">
        <v>0.24</v>
      </c>
      <c r="L181" s="30" t="s">
        <v>508</v>
      </c>
      <c r="M181" s="30" t="s">
        <v>508</v>
      </c>
      <c r="N181" s="30" t="s">
        <v>508</v>
      </c>
      <c r="O181" s="30" t="s">
        <v>508</v>
      </c>
      <c r="P181" s="5"/>
      <c r="Q181" s="5"/>
      <c r="R181" s="5"/>
      <c r="S181" s="5"/>
      <c r="T181" s="5"/>
      <c r="U181" s="5"/>
      <c r="V181" s="2"/>
      <c r="W181" s="2"/>
      <c r="X181" s="2"/>
      <c r="Y181" s="2"/>
      <c r="Z181" s="2"/>
      <c r="AA181" s="2"/>
      <c r="AB181" s="2"/>
      <c r="AC181" s="2"/>
      <c r="AD181" s="2"/>
    </row>
    <row r="182" spans="1:30" ht="13.5" thickBot="1">
      <c r="A182" s="50" t="s">
        <v>188</v>
      </c>
      <c r="B182" s="50">
        <v>1000</v>
      </c>
      <c r="C182" s="50">
        <v>700</v>
      </c>
      <c r="D182" s="51">
        <v>3.75</v>
      </c>
      <c r="E182" s="50">
        <v>16.4</v>
      </c>
      <c r="F182" s="50">
        <v>90</v>
      </c>
      <c r="G182" s="50">
        <v>104</v>
      </c>
      <c r="H182" s="50">
        <v>72</v>
      </c>
      <c r="I182" s="54">
        <v>15</v>
      </c>
      <c r="J182" s="51">
        <v>0.56</v>
      </c>
      <c r="K182" s="51">
        <v>0.28</v>
      </c>
      <c r="L182" s="50" t="s">
        <v>508</v>
      </c>
      <c r="M182" s="50" t="s">
        <v>508</v>
      </c>
      <c r="N182" s="50" t="s">
        <v>508</v>
      </c>
      <c r="O182" s="50" t="s">
        <v>508</v>
      </c>
      <c r="P182" s="5"/>
      <c r="Q182" s="5"/>
      <c r="R182" s="5"/>
      <c r="S182" s="5"/>
      <c r="T182" s="5"/>
      <c r="U182" s="5"/>
      <c r="V182" s="2"/>
      <c r="W182" s="2"/>
      <c r="X182" s="2"/>
      <c r="Y182" s="2"/>
      <c r="Z182" s="2"/>
      <c r="AA182" s="2"/>
      <c r="AB182" s="2"/>
      <c r="AC182" s="2"/>
      <c r="AD182" s="2"/>
    </row>
    <row r="183" spans="1:30" ht="12.75">
      <c r="A183" s="30" t="s">
        <v>188</v>
      </c>
      <c r="B183" s="30">
        <v>1000</v>
      </c>
      <c r="C183" s="30">
        <v>750</v>
      </c>
      <c r="D183" s="49">
        <v>0.64</v>
      </c>
      <c r="E183" s="30">
        <v>19.2</v>
      </c>
      <c r="F183" s="30">
        <v>50</v>
      </c>
      <c r="G183" s="30">
        <v>45</v>
      </c>
      <c r="H183" s="30">
        <v>20</v>
      </c>
      <c r="I183" s="53">
        <v>6.7</v>
      </c>
      <c r="J183" s="49">
        <v>0.19</v>
      </c>
      <c r="K183" s="49">
        <v>0.12</v>
      </c>
      <c r="L183" s="30" t="s">
        <v>508</v>
      </c>
      <c r="M183" s="30" t="s">
        <v>508</v>
      </c>
      <c r="N183" s="30" t="s">
        <v>508</v>
      </c>
      <c r="O183" s="30" t="s">
        <v>508</v>
      </c>
      <c r="P183" s="5"/>
      <c r="Q183" s="5"/>
      <c r="R183" s="5"/>
      <c r="S183" s="5"/>
      <c r="T183" s="5"/>
      <c r="U183" s="5"/>
      <c r="V183" s="2"/>
      <c r="W183" s="2"/>
      <c r="X183" s="2"/>
      <c r="Y183" s="2"/>
      <c r="Z183" s="2"/>
      <c r="AA183" s="2"/>
      <c r="AB183" s="2"/>
      <c r="AC183" s="2"/>
      <c r="AD183" s="2"/>
    </row>
    <row r="184" spans="1:30" ht="12.75">
      <c r="A184" s="30" t="s">
        <v>188</v>
      </c>
      <c r="B184" s="30">
        <v>1000</v>
      </c>
      <c r="C184" s="30">
        <v>750</v>
      </c>
      <c r="D184" s="49">
        <v>1.77</v>
      </c>
      <c r="E184" s="30">
        <v>20.3</v>
      </c>
      <c r="F184" s="30">
        <v>60</v>
      </c>
      <c r="G184" s="30">
        <v>61</v>
      </c>
      <c r="H184" s="30">
        <v>35</v>
      </c>
      <c r="I184" s="53">
        <v>8.5</v>
      </c>
      <c r="J184" s="49">
        <v>0.28</v>
      </c>
      <c r="K184" s="49">
        <v>0.16</v>
      </c>
      <c r="L184" s="30" t="s">
        <v>508</v>
      </c>
      <c r="M184" s="30" t="s">
        <v>508</v>
      </c>
      <c r="N184" s="30" t="s">
        <v>508</v>
      </c>
      <c r="O184" s="30" t="s">
        <v>508</v>
      </c>
      <c r="P184" s="5"/>
      <c r="Q184" s="5"/>
      <c r="R184" s="5"/>
      <c r="S184" s="5"/>
      <c r="T184" s="5"/>
      <c r="U184" s="5"/>
      <c r="V184" s="2"/>
      <c r="W184" s="2"/>
      <c r="X184" s="2"/>
      <c r="Y184" s="2"/>
      <c r="Z184" s="2"/>
      <c r="AA184" s="2"/>
      <c r="AB184" s="2"/>
      <c r="AC184" s="2"/>
      <c r="AD184" s="2"/>
    </row>
    <row r="185" spans="1:30" ht="12.75">
      <c r="A185" s="30" t="s">
        <v>188</v>
      </c>
      <c r="B185" s="30">
        <v>1000</v>
      </c>
      <c r="C185" s="30">
        <v>750</v>
      </c>
      <c r="D185" s="49">
        <v>2.68</v>
      </c>
      <c r="E185" s="30">
        <v>19.8</v>
      </c>
      <c r="F185" s="30">
        <v>70</v>
      </c>
      <c r="G185" s="30">
        <v>76</v>
      </c>
      <c r="H185" s="30">
        <v>48</v>
      </c>
      <c r="I185" s="53">
        <v>10.3</v>
      </c>
      <c r="J185" s="49">
        <v>0.37</v>
      </c>
      <c r="K185" s="49">
        <v>0.19</v>
      </c>
      <c r="L185" s="30" t="s">
        <v>508</v>
      </c>
      <c r="M185" s="30" t="s">
        <v>508</v>
      </c>
      <c r="N185" s="30" t="s">
        <v>508</v>
      </c>
      <c r="O185" s="30" t="s">
        <v>508</v>
      </c>
      <c r="P185" s="5"/>
      <c r="Q185" s="5"/>
      <c r="R185" s="5"/>
      <c r="S185" s="5"/>
      <c r="T185" s="5"/>
      <c r="U185" s="5"/>
      <c r="V185" s="2"/>
      <c r="W185" s="2"/>
      <c r="X185" s="2"/>
      <c r="Y185" s="2"/>
      <c r="Z185" s="2"/>
      <c r="AA185" s="2"/>
      <c r="AB185" s="2"/>
      <c r="AC185" s="2"/>
      <c r="AD185" s="2"/>
    </row>
    <row r="186" spans="1:30" ht="12.75">
      <c r="A186" s="30" t="s">
        <v>188</v>
      </c>
      <c r="B186" s="30">
        <v>1000</v>
      </c>
      <c r="C186" s="30">
        <v>750</v>
      </c>
      <c r="D186" s="49">
        <v>3.34</v>
      </c>
      <c r="E186" s="30">
        <v>18.7</v>
      </c>
      <c r="F186" s="30">
        <v>80</v>
      </c>
      <c r="G186" s="30">
        <v>90</v>
      </c>
      <c r="H186" s="30">
        <v>61</v>
      </c>
      <c r="I186" s="53">
        <v>12.2</v>
      </c>
      <c r="J186" s="49">
        <v>0.45</v>
      </c>
      <c r="K186" s="49">
        <v>0.23</v>
      </c>
      <c r="L186" s="30" t="s">
        <v>508</v>
      </c>
      <c r="M186" s="30" t="s">
        <v>508</v>
      </c>
      <c r="N186" s="30" t="s">
        <v>508</v>
      </c>
      <c r="O186" s="30" t="s">
        <v>508</v>
      </c>
      <c r="P186" s="5"/>
      <c r="Q186" s="5"/>
      <c r="R186" s="5"/>
      <c r="S186" s="5"/>
      <c r="T186" s="5"/>
      <c r="U186" s="5"/>
      <c r="V186" s="2"/>
      <c r="W186" s="2"/>
      <c r="X186" s="2"/>
      <c r="Y186" s="2"/>
      <c r="Z186" s="2"/>
      <c r="AA186" s="2"/>
      <c r="AB186" s="2"/>
      <c r="AC186" s="2"/>
      <c r="AD186" s="2"/>
    </row>
    <row r="187" spans="1:30" ht="13.5" thickBot="1">
      <c r="A187" s="50" t="s">
        <v>188</v>
      </c>
      <c r="B187" s="50">
        <v>1000</v>
      </c>
      <c r="C187" s="50">
        <v>750</v>
      </c>
      <c r="D187" s="51">
        <v>3.75</v>
      </c>
      <c r="E187" s="50">
        <v>17.3</v>
      </c>
      <c r="F187" s="50">
        <v>90</v>
      </c>
      <c r="G187" s="50">
        <v>104</v>
      </c>
      <c r="H187" s="50">
        <v>72</v>
      </c>
      <c r="I187" s="54">
        <v>14</v>
      </c>
      <c r="J187" s="51">
        <v>0.52</v>
      </c>
      <c r="K187" s="51">
        <v>0.26</v>
      </c>
      <c r="L187" s="50" t="s">
        <v>508</v>
      </c>
      <c r="M187" s="50" t="s">
        <v>508</v>
      </c>
      <c r="N187" s="50" t="s">
        <v>508</v>
      </c>
      <c r="O187" s="50" t="s">
        <v>508</v>
      </c>
      <c r="P187" s="5"/>
      <c r="Q187" s="5"/>
      <c r="R187" s="5"/>
      <c r="S187" s="5"/>
      <c r="T187" s="5"/>
      <c r="U187" s="5"/>
      <c r="V187" s="2"/>
      <c r="W187" s="2"/>
      <c r="X187" s="2"/>
      <c r="Y187" s="2"/>
      <c r="Z187" s="2"/>
      <c r="AA187" s="2"/>
      <c r="AB187" s="2"/>
      <c r="AC187" s="2"/>
      <c r="AD187" s="2"/>
    </row>
    <row r="188" spans="1:30" ht="12.75">
      <c r="A188" s="30" t="s">
        <v>188</v>
      </c>
      <c r="B188" s="30">
        <v>1000</v>
      </c>
      <c r="C188" s="30">
        <v>800</v>
      </c>
      <c r="D188" s="49">
        <v>0.64</v>
      </c>
      <c r="E188" s="30">
        <v>20.2</v>
      </c>
      <c r="F188" s="30">
        <v>50</v>
      </c>
      <c r="G188" s="30">
        <v>45</v>
      </c>
      <c r="H188" s="30">
        <v>20</v>
      </c>
      <c r="I188" s="53">
        <v>6.5</v>
      </c>
      <c r="J188" s="49">
        <v>0.19</v>
      </c>
      <c r="K188" s="49">
        <v>0.12</v>
      </c>
      <c r="L188" s="30" t="s">
        <v>508</v>
      </c>
      <c r="M188" s="30" t="s">
        <v>508</v>
      </c>
      <c r="N188" s="30" t="s">
        <v>508</v>
      </c>
      <c r="O188" s="30" t="s">
        <v>508</v>
      </c>
      <c r="P188" s="5"/>
      <c r="Q188" s="5"/>
      <c r="R188" s="5"/>
      <c r="S188" s="5"/>
      <c r="T188" s="5"/>
      <c r="U188" s="5"/>
      <c r="V188" s="2"/>
      <c r="W188" s="2"/>
      <c r="X188" s="2"/>
      <c r="Y188" s="2"/>
      <c r="Z188" s="2"/>
      <c r="AA188" s="2"/>
      <c r="AB188" s="2"/>
      <c r="AC188" s="2"/>
      <c r="AD188" s="2"/>
    </row>
    <row r="189" spans="1:30" ht="12.75">
      <c r="A189" s="30" t="s">
        <v>188</v>
      </c>
      <c r="B189" s="30">
        <v>1000</v>
      </c>
      <c r="C189" s="30">
        <v>800</v>
      </c>
      <c r="D189" s="49">
        <v>1.77</v>
      </c>
      <c r="E189" s="30">
        <v>21.3</v>
      </c>
      <c r="F189" s="30">
        <v>60</v>
      </c>
      <c r="G189" s="30">
        <v>61</v>
      </c>
      <c r="H189" s="30">
        <v>35</v>
      </c>
      <c r="I189" s="53">
        <v>8.1</v>
      </c>
      <c r="J189" s="49">
        <v>0.27</v>
      </c>
      <c r="K189" s="49">
        <v>0.15</v>
      </c>
      <c r="L189" s="30" t="s">
        <v>508</v>
      </c>
      <c r="M189" s="30" t="s">
        <v>508</v>
      </c>
      <c r="N189" s="30" t="s">
        <v>508</v>
      </c>
      <c r="O189" s="30" t="s">
        <v>508</v>
      </c>
      <c r="P189" s="5"/>
      <c r="Q189" s="5"/>
      <c r="R189" s="5"/>
      <c r="S189" s="5"/>
      <c r="T189" s="5"/>
      <c r="U189" s="5"/>
      <c r="V189" s="2"/>
      <c r="W189" s="2"/>
      <c r="X189" s="2"/>
      <c r="Y189" s="2"/>
      <c r="Z189" s="2"/>
      <c r="AA189" s="2"/>
      <c r="AB189" s="2"/>
      <c r="AC189" s="2"/>
      <c r="AD189" s="2"/>
    </row>
    <row r="190" spans="1:30" ht="12.75">
      <c r="A190" s="30" t="s">
        <v>188</v>
      </c>
      <c r="B190" s="30">
        <v>1000</v>
      </c>
      <c r="C190" s="30">
        <v>800</v>
      </c>
      <c r="D190" s="49">
        <v>2.68</v>
      </c>
      <c r="E190" s="30">
        <v>20.8</v>
      </c>
      <c r="F190" s="30">
        <v>70</v>
      </c>
      <c r="G190" s="30">
        <v>76</v>
      </c>
      <c r="H190" s="30">
        <v>48</v>
      </c>
      <c r="I190" s="53">
        <v>9.8</v>
      </c>
      <c r="J190" s="49">
        <v>0.34</v>
      </c>
      <c r="K190" s="49">
        <v>0.18</v>
      </c>
      <c r="L190" s="30" t="s">
        <v>508</v>
      </c>
      <c r="M190" s="30" t="s">
        <v>508</v>
      </c>
      <c r="N190" s="30" t="s">
        <v>508</v>
      </c>
      <c r="O190" s="30" t="s">
        <v>508</v>
      </c>
      <c r="P190" s="5"/>
      <c r="Q190" s="5"/>
      <c r="R190" s="5"/>
      <c r="S190" s="5"/>
      <c r="T190" s="5"/>
      <c r="U190" s="5"/>
      <c r="V190" s="2"/>
      <c r="W190" s="2"/>
      <c r="X190" s="2"/>
      <c r="Y190" s="2"/>
      <c r="Z190" s="2"/>
      <c r="AA190" s="2"/>
      <c r="AB190" s="2"/>
      <c r="AC190" s="2"/>
      <c r="AD190" s="2"/>
    </row>
    <row r="191" spans="1:30" ht="12.75">
      <c r="A191" s="30" t="s">
        <v>188</v>
      </c>
      <c r="B191" s="30">
        <v>1000</v>
      </c>
      <c r="C191" s="30">
        <v>800</v>
      </c>
      <c r="D191" s="52">
        <v>3.34</v>
      </c>
      <c r="E191" s="31">
        <v>19.6</v>
      </c>
      <c r="F191" s="31">
        <v>80</v>
      </c>
      <c r="G191" s="31">
        <v>90</v>
      </c>
      <c r="H191" s="31">
        <v>61</v>
      </c>
      <c r="I191" s="55">
        <v>11.5</v>
      </c>
      <c r="J191" s="52">
        <v>0.42</v>
      </c>
      <c r="K191" s="52">
        <v>0.22</v>
      </c>
      <c r="L191" s="30" t="s">
        <v>508</v>
      </c>
      <c r="M191" s="30" t="s">
        <v>508</v>
      </c>
      <c r="N191" s="30" t="s">
        <v>508</v>
      </c>
      <c r="O191" s="30" t="s">
        <v>508</v>
      </c>
      <c r="P191" s="5"/>
      <c r="Q191" s="5"/>
      <c r="R191" s="5"/>
      <c r="S191" s="5"/>
      <c r="T191" s="5"/>
      <c r="U191" s="5"/>
      <c r="V191" s="2"/>
      <c r="W191" s="2"/>
      <c r="X191" s="2"/>
      <c r="Y191" s="2"/>
      <c r="Z191" s="2"/>
      <c r="AA191" s="2"/>
      <c r="AB191" s="2"/>
      <c r="AC191" s="2"/>
      <c r="AD191" s="2"/>
    </row>
    <row r="192" spans="1:30" ht="13.5" thickBot="1">
      <c r="A192" s="50" t="s">
        <v>188</v>
      </c>
      <c r="B192" s="50">
        <v>1000</v>
      </c>
      <c r="C192" s="50">
        <v>800</v>
      </c>
      <c r="D192" s="51">
        <v>3.75</v>
      </c>
      <c r="E192" s="50">
        <v>18.1</v>
      </c>
      <c r="F192" s="50">
        <v>90</v>
      </c>
      <c r="G192" s="50">
        <v>104</v>
      </c>
      <c r="H192" s="50">
        <v>72</v>
      </c>
      <c r="I192" s="54">
        <v>13.2</v>
      </c>
      <c r="J192" s="51">
        <v>0.48</v>
      </c>
      <c r="K192" s="51">
        <v>0.25</v>
      </c>
      <c r="L192" s="50" t="s">
        <v>508</v>
      </c>
      <c r="M192" s="50" t="s">
        <v>508</v>
      </c>
      <c r="N192" s="50" t="s">
        <v>508</v>
      </c>
      <c r="O192" s="50" t="s">
        <v>508</v>
      </c>
      <c r="P192" s="5"/>
      <c r="Q192" s="5"/>
      <c r="R192" s="5"/>
      <c r="S192" s="5"/>
      <c r="T192" s="5"/>
      <c r="U192" s="5"/>
      <c r="V192" s="2"/>
      <c r="W192" s="2"/>
      <c r="X192" s="2"/>
      <c r="Y192" s="2"/>
      <c r="Z192" s="2"/>
      <c r="AA192" s="2"/>
      <c r="AB192" s="2"/>
      <c r="AC192" s="2"/>
      <c r="AD192" s="2"/>
    </row>
    <row r="193" spans="1:30" ht="12.75">
      <c r="A193" s="30" t="s">
        <v>188</v>
      </c>
      <c r="B193" s="30">
        <v>1100</v>
      </c>
      <c r="C193" s="30">
        <v>605</v>
      </c>
      <c r="D193" s="49">
        <v>0.68</v>
      </c>
      <c r="E193" s="30">
        <v>16.3</v>
      </c>
      <c r="F193" s="30">
        <v>50</v>
      </c>
      <c r="G193" s="30">
        <v>45</v>
      </c>
      <c r="H193" s="30">
        <v>20</v>
      </c>
      <c r="I193" s="53">
        <v>7.2</v>
      </c>
      <c r="J193" s="49">
        <v>0.22</v>
      </c>
      <c r="K193" s="49">
        <v>0.13</v>
      </c>
      <c r="L193" s="30" t="s">
        <v>508</v>
      </c>
      <c r="M193" s="30" t="s">
        <v>508</v>
      </c>
      <c r="N193" s="30" t="s">
        <v>508</v>
      </c>
      <c r="O193" s="30" t="s">
        <v>508</v>
      </c>
      <c r="P193" s="5"/>
      <c r="Q193" s="5"/>
      <c r="R193" s="5"/>
      <c r="S193" s="5"/>
      <c r="T193" s="5"/>
      <c r="U193" s="5"/>
      <c r="V193" s="2"/>
      <c r="W193" s="2"/>
      <c r="X193" s="2"/>
      <c r="Y193" s="2"/>
      <c r="Z193" s="2"/>
      <c r="AA193" s="2"/>
      <c r="AB193" s="2"/>
      <c r="AC193" s="2"/>
      <c r="AD193" s="2"/>
    </row>
    <row r="194" spans="1:30" ht="12.75">
      <c r="A194" s="30" t="s">
        <v>188</v>
      </c>
      <c r="B194" s="30">
        <v>1100</v>
      </c>
      <c r="C194" s="30">
        <v>605</v>
      </c>
      <c r="D194" s="49">
        <v>1.88</v>
      </c>
      <c r="E194" s="30">
        <v>17.3</v>
      </c>
      <c r="F194" s="30">
        <v>60</v>
      </c>
      <c r="G194" s="30">
        <v>61</v>
      </c>
      <c r="H194" s="30">
        <v>35</v>
      </c>
      <c r="I194" s="53">
        <v>10</v>
      </c>
      <c r="J194" s="49">
        <v>0.36</v>
      </c>
      <c r="K194" s="49">
        <v>0.19</v>
      </c>
      <c r="L194" s="30" t="s">
        <v>508</v>
      </c>
      <c r="M194" s="30" t="s">
        <v>508</v>
      </c>
      <c r="N194" s="30" t="s">
        <v>508</v>
      </c>
      <c r="O194" s="30" t="s">
        <v>508</v>
      </c>
      <c r="P194" s="5"/>
      <c r="Q194" s="5"/>
      <c r="R194" s="5"/>
      <c r="S194" s="5"/>
      <c r="T194" s="5"/>
      <c r="U194" s="5"/>
      <c r="V194" s="2"/>
      <c r="W194" s="2"/>
      <c r="X194" s="2"/>
      <c r="Y194" s="2"/>
      <c r="Z194" s="2"/>
      <c r="AA194" s="2"/>
      <c r="AB194" s="2"/>
      <c r="AC194" s="2"/>
      <c r="AD194" s="2"/>
    </row>
    <row r="195" spans="1:30" ht="12.75">
      <c r="A195" s="30" t="s">
        <v>188</v>
      </c>
      <c r="B195" s="30">
        <v>1100</v>
      </c>
      <c r="C195" s="30">
        <v>605</v>
      </c>
      <c r="D195" s="49">
        <v>2.86</v>
      </c>
      <c r="E195" s="30">
        <v>16.9</v>
      </c>
      <c r="F195" s="30">
        <v>70</v>
      </c>
      <c r="G195" s="30">
        <v>76</v>
      </c>
      <c r="H195" s="30">
        <v>48</v>
      </c>
      <c r="I195" s="53">
        <v>12.7</v>
      </c>
      <c r="J195" s="49">
        <v>0.49</v>
      </c>
      <c r="K195" s="49">
        <v>0.24</v>
      </c>
      <c r="L195" s="30" t="s">
        <v>508</v>
      </c>
      <c r="M195" s="30" t="s">
        <v>508</v>
      </c>
      <c r="N195" s="30" t="s">
        <v>508</v>
      </c>
      <c r="O195" s="30" t="s">
        <v>508</v>
      </c>
      <c r="P195" s="5"/>
      <c r="Q195" s="5"/>
      <c r="R195" s="5"/>
      <c r="S195" s="5"/>
      <c r="T195" s="5"/>
      <c r="U195" s="5"/>
      <c r="V195" s="2"/>
      <c r="W195" s="2"/>
      <c r="X195" s="2"/>
      <c r="Y195" s="2"/>
      <c r="Z195" s="2"/>
      <c r="AA195" s="2"/>
      <c r="AB195" s="2"/>
      <c r="AC195" s="2"/>
      <c r="AD195" s="2"/>
    </row>
    <row r="196" spans="1:30" ht="12.75">
      <c r="A196" s="30" t="s">
        <v>188</v>
      </c>
      <c r="B196" s="30">
        <v>1100</v>
      </c>
      <c r="C196" s="30">
        <v>605</v>
      </c>
      <c r="D196" s="49">
        <v>3.56</v>
      </c>
      <c r="E196" s="30">
        <v>15.9</v>
      </c>
      <c r="F196" s="30">
        <v>80</v>
      </c>
      <c r="G196" s="30">
        <v>90</v>
      </c>
      <c r="H196" s="30">
        <v>61</v>
      </c>
      <c r="I196" s="53">
        <v>15.3</v>
      </c>
      <c r="J196" s="49">
        <v>0.61</v>
      </c>
      <c r="K196" s="49">
        <v>0.29</v>
      </c>
      <c r="L196" s="30" t="s">
        <v>508</v>
      </c>
      <c r="M196" s="30" t="s">
        <v>508</v>
      </c>
      <c r="N196" s="30" t="s">
        <v>508</v>
      </c>
      <c r="O196" s="30" t="s">
        <v>508</v>
      </c>
      <c r="P196" s="5"/>
      <c r="Q196" s="5"/>
      <c r="R196" s="5"/>
      <c r="S196" s="5"/>
      <c r="T196" s="5"/>
      <c r="U196" s="5"/>
      <c r="V196" s="2"/>
      <c r="W196" s="2"/>
      <c r="X196" s="2"/>
      <c r="Y196" s="2"/>
      <c r="Z196" s="2"/>
      <c r="AA196" s="2"/>
      <c r="AB196" s="2"/>
      <c r="AC196" s="2"/>
      <c r="AD196" s="2"/>
    </row>
    <row r="197" spans="1:30" ht="13.5" thickBot="1">
      <c r="A197" s="50" t="s">
        <v>188</v>
      </c>
      <c r="B197" s="50">
        <v>1100</v>
      </c>
      <c r="C197" s="50">
        <v>605</v>
      </c>
      <c r="D197" s="51">
        <v>4</v>
      </c>
      <c r="E197" s="50">
        <v>14.7</v>
      </c>
      <c r="F197" s="50">
        <v>90</v>
      </c>
      <c r="G197" s="50">
        <v>104</v>
      </c>
      <c r="H197" s="50">
        <v>72</v>
      </c>
      <c r="I197" s="54">
        <v>17.8</v>
      </c>
      <c r="J197" s="51">
        <v>0.72</v>
      </c>
      <c r="K197" s="51">
        <v>0.34</v>
      </c>
      <c r="L197" s="50" t="s">
        <v>508</v>
      </c>
      <c r="M197" s="50" t="s">
        <v>508</v>
      </c>
      <c r="N197" s="50" t="s">
        <v>508</v>
      </c>
      <c r="O197" s="50" t="s">
        <v>508</v>
      </c>
      <c r="P197" s="5"/>
      <c r="Q197" s="5"/>
      <c r="R197" s="5"/>
      <c r="S197" s="5"/>
      <c r="T197" s="5"/>
      <c r="U197" s="5"/>
      <c r="V197" s="2"/>
      <c r="W197" s="2"/>
      <c r="X197" s="2"/>
      <c r="Y197" s="2"/>
      <c r="Z197" s="2"/>
      <c r="AA197" s="2"/>
      <c r="AB197" s="2"/>
      <c r="AC197" s="2"/>
      <c r="AD197" s="2"/>
    </row>
    <row r="198" spans="1:30" ht="12.75">
      <c r="A198" s="30" t="s">
        <v>188</v>
      </c>
      <c r="B198" s="30">
        <v>1100</v>
      </c>
      <c r="C198" s="30">
        <v>660</v>
      </c>
      <c r="D198" s="49">
        <v>0.68</v>
      </c>
      <c r="E198" s="30">
        <v>17.5</v>
      </c>
      <c r="F198" s="30">
        <v>50</v>
      </c>
      <c r="G198" s="30">
        <v>45</v>
      </c>
      <c r="H198" s="30">
        <v>20</v>
      </c>
      <c r="I198" s="53">
        <v>7.1</v>
      </c>
      <c r="J198" s="49">
        <v>0.21</v>
      </c>
      <c r="K198" s="49">
        <v>0.13</v>
      </c>
      <c r="L198" s="30" t="s">
        <v>508</v>
      </c>
      <c r="M198" s="30" t="s">
        <v>508</v>
      </c>
      <c r="N198" s="30" t="s">
        <v>508</v>
      </c>
      <c r="O198" s="30" t="s">
        <v>508</v>
      </c>
      <c r="P198" s="5"/>
      <c r="Q198" s="5"/>
      <c r="R198" s="5"/>
      <c r="S198" s="5"/>
      <c r="T198" s="5"/>
      <c r="U198" s="5"/>
      <c r="V198" s="2"/>
      <c r="W198" s="2"/>
      <c r="X198" s="2"/>
      <c r="Y198" s="2"/>
      <c r="Z198" s="2"/>
      <c r="AA198" s="2"/>
      <c r="AB198" s="2"/>
      <c r="AC198" s="2"/>
      <c r="AD198" s="2"/>
    </row>
    <row r="199" spans="1:30" ht="12.75">
      <c r="A199" s="30" t="s">
        <v>188</v>
      </c>
      <c r="B199" s="30">
        <v>1100</v>
      </c>
      <c r="C199" s="30">
        <v>660</v>
      </c>
      <c r="D199" s="49">
        <v>1.88</v>
      </c>
      <c r="E199" s="30">
        <v>18.4</v>
      </c>
      <c r="F199" s="30">
        <v>60</v>
      </c>
      <c r="G199" s="30">
        <v>61</v>
      </c>
      <c r="H199" s="30">
        <v>35</v>
      </c>
      <c r="I199" s="53">
        <v>9.7</v>
      </c>
      <c r="J199" s="49">
        <v>0.34</v>
      </c>
      <c r="K199" s="49">
        <v>0.18</v>
      </c>
      <c r="L199" s="30" t="s">
        <v>508</v>
      </c>
      <c r="M199" s="30" t="s">
        <v>508</v>
      </c>
      <c r="N199" s="30" t="s">
        <v>508</v>
      </c>
      <c r="O199" s="30" t="s">
        <v>508</v>
      </c>
      <c r="P199" s="5"/>
      <c r="Q199" s="5"/>
      <c r="R199" s="5"/>
      <c r="S199" s="5"/>
      <c r="T199" s="5"/>
      <c r="U199" s="5"/>
      <c r="V199" s="2"/>
      <c r="W199" s="2"/>
      <c r="X199" s="2"/>
      <c r="Y199" s="2"/>
      <c r="Z199" s="2"/>
      <c r="AA199" s="2"/>
      <c r="AB199" s="2"/>
      <c r="AC199" s="2"/>
      <c r="AD199" s="2"/>
    </row>
    <row r="200" spans="1:30" ht="12.75">
      <c r="A200" s="30" t="s">
        <v>188</v>
      </c>
      <c r="B200" s="30">
        <v>1100</v>
      </c>
      <c r="C200" s="30">
        <v>660</v>
      </c>
      <c r="D200" s="49">
        <v>2.86</v>
      </c>
      <c r="E200" s="30">
        <v>18</v>
      </c>
      <c r="F200" s="30">
        <v>70</v>
      </c>
      <c r="G200" s="30">
        <v>76</v>
      </c>
      <c r="H200" s="30">
        <v>48</v>
      </c>
      <c r="I200" s="53">
        <v>12.3</v>
      </c>
      <c r="J200" s="49">
        <v>0.45</v>
      </c>
      <c r="K200" s="49">
        <v>0.23</v>
      </c>
      <c r="L200" s="30" t="s">
        <v>508</v>
      </c>
      <c r="M200" s="30" t="s">
        <v>508</v>
      </c>
      <c r="N200" s="30" t="s">
        <v>508</v>
      </c>
      <c r="O200" s="30" t="s">
        <v>508</v>
      </c>
      <c r="P200" s="5"/>
      <c r="Q200" s="5"/>
      <c r="R200" s="5"/>
      <c r="S200" s="5"/>
      <c r="T200" s="5"/>
      <c r="U200" s="5"/>
      <c r="V200" s="2"/>
      <c r="W200" s="2"/>
      <c r="X200" s="2"/>
      <c r="Y200" s="2"/>
      <c r="Z200" s="2"/>
      <c r="AA200" s="2"/>
      <c r="AB200" s="2"/>
      <c r="AC200" s="2"/>
      <c r="AD200" s="2"/>
    </row>
    <row r="201" spans="1:30" ht="12.75">
      <c r="A201" s="30" t="s">
        <v>188</v>
      </c>
      <c r="B201" s="30">
        <v>1100</v>
      </c>
      <c r="C201" s="30">
        <v>660</v>
      </c>
      <c r="D201" s="49">
        <v>3.56</v>
      </c>
      <c r="E201" s="30">
        <v>17</v>
      </c>
      <c r="F201" s="30">
        <v>80</v>
      </c>
      <c r="G201" s="30">
        <v>90</v>
      </c>
      <c r="H201" s="30">
        <v>61</v>
      </c>
      <c r="I201" s="53">
        <v>14.7</v>
      </c>
      <c r="J201" s="49">
        <v>0.56</v>
      </c>
      <c r="K201" s="49">
        <v>0.27</v>
      </c>
      <c r="L201" s="30" t="s">
        <v>508</v>
      </c>
      <c r="M201" s="30" t="s">
        <v>508</v>
      </c>
      <c r="N201" s="30" t="s">
        <v>508</v>
      </c>
      <c r="O201" s="30" t="s">
        <v>508</v>
      </c>
      <c r="P201" s="5"/>
      <c r="Q201" s="5"/>
      <c r="R201" s="5"/>
      <c r="S201" s="5"/>
      <c r="T201" s="5"/>
      <c r="U201" s="5"/>
      <c r="V201" s="2"/>
      <c r="W201" s="2"/>
      <c r="X201" s="2"/>
      <c r="Y201" s="2"/>
      <c r="Z201" s="2"/>
      <c r="AA201" s="2"/>
      <c r="AB201" s="2"/>
      <c r="AC201" s="2"/>
      <c r="AD201" s="2"/>
    </row>
    <row r="202" spans="1:30" ht="13.5" thickBot="1">
      <c r="A202" s="50" t="s">
        <v>188</v>
      </c>
      <c r="B202" s="50">
        <v>1100</v>
      </c>
      <c r="C202" s="50">
        <v>660</v>
      </c>
      <c r="D202" s="51">
        <v>4</v>
      </c>
      <c r="E202" s="50">
        <v>15.7</v>
      </c>
      <c r="F202" s="50">
        <v>90</v>
      </c>
      <c r="G202" s="50">
        <v>104</v>
      </c>
      <c r="H202" s="50">
        <v>72</v>
      </c>
      <c r="I202" s="54">
        <v>17.1</v>
      </c>
      <c r="J202" s="51">
        <v>0.66</v>
      </c>
      <c r="K202" s="51">
        <v>0.32</v>
      </c>
      <c r="L202" s="50" t="s">
        <v>508</v>
      </c>
      <c r="M202" s="50" t="s">
        <v>508</v>
      </c>
      <c r="N202" s="50" t="s">
        <v>508</v>
      </c>
      <c r="O202" s="50" t="s">
        <v>508</v>
      </c>
      <c r="P202" s="5"/>
      <c r="Q202" s="5"/>
      <c r="R202" s="5"/>
      <c r="S202" s="5"/>
      <c r="T202" s="5"/>
      <c r="U202" s="5"/>
      <c r="V202" s="2"/>
      <c r="W202" s="2"/>
      <c r="X202" s="2"/>
      <c r="Y202" s="2"/>
      <c r="Z202" s="2"/>
      <c r="AA202" s="2"/>
      <c r="AB202" s="2"/>
      <c r="AC202" s="2"/>
      <c r="AD202" s="2"/>
    </row>
    <row r="203" spans="1:30" ht="12.75">
      <c r="A203" s="30" t="s">
        <v>188</v>
      </c>
      <c r="B203" s="30">
        <v>1100</v>
      </c>
      <c r="C203" s="30">
        <v>715</v>
      </c>
      <c r="D203" s="49">
        <v>0.68</v>
      </c>
      <c r="E203" s="30">
        <v>18.5</v>
      </c>
      <c r="F203" s="30">
        <v>50</v>
      </c>
      <c r="G203" s="30">
        <v>45</v>
      </c>
      <c r="H203" s="30">
        <v>20</v>
      </c>
      <c r="I203" s="53">
        <v>6.9</v>
      </c>
      <c r="J203" s="49">
        <v>0.2</v>
      </c>
      <c r="K203" s="49">
        <v>0.13</v>
      </c>
      <c r="L203" s="30" t="s">
        <v>508</v>
      </c>
      <c r="M203" s="30" t="s">
        <v>508</v>
      </c>
      <c r="N203" s="30" t="s">
        <v>508</v>
      </c>
      <c r="O203" s="30" t="s">
        <v>508</v>
      </c>
      <c r="P203" s="5"/>
      <c r="Q203" s="5"/>
      <c r="R203" s="5"/>
      <c r="S203" s="5"/>
      <c r="T203" s="5"/>
      <c r="U203" s="5"/>
      <c r="V203" s="2"/>
      <c r="W203" s="2"/>
      <c r="X203" s="2"/>
      <c r="Y203" s="2"/>
      <c r="Z203" s="2"/>
      <c r="AA203" s="2"/>
      <c r="AB203" s="2"/>
      <c r="AC203" s="2"/>
      <c r="AD203" s="2"/>
    </row>
    <row r="204" spans="1:30" ht="12.75">
      <c r="A204" s="30" t="s">
        <v>188</v>
      </c>
      <c r="B204" s="30">
        <v>1100</v>
      </c>
      <c r="C204" s="30">
        <v>715</v>
      </c>
      <c r="D204" s="49">
        <v>1.88</v>
      </c>
      <c r="E204" s="30">
        <v>19.6</v>
      </c>
      <c r="F204" s="30">
        <v>60</v>
      </c>
      <c r="G204" s="30">
        <v>61</v>
      </c>
      <c r="H204" s="30">
        <v>35</v>
      </c>
      <c r="I204" s="53">
        <v>9.2</v>
      </c>
      <c r="J204" s="49">
        <v>0.32</v>
      </c>
      <c r="K204" s="49">
        <v>0.17</v>
      </c>
      <c r="L204" s="30" t="s">
        <v>508</v>
      </c>
      <c r="M204" s="30" t="s">
        <v>508</v>
      </c>
      <c r="N204" s="30" t="s">
        <v>508</v>
      </c>
      <c r="O204" s="30" t="s">
        <v>508</v>
      </c>
      <c r="P204" s="5"/>
      <c r="Q204" s="5"/>
      <c r="R204" s="5"/>
      <c r="S204" s="5"/>
      <c r="T204" s="5"/>
      <c r="U204" s="5"/>
      <c r="V204" s="2"/>
      <c r="W204" s="2"/>
      <c r="X204" s="2"/>
      <c r="Y204" s="2"/>
      <c r="Z204" s="2"/>
      <c r="AA204" s="2"/>
      <c r="AB204" s="2"/>
      <c r="AC204" s="2"/>
      <c r="AD204" s="2"/>
    </row>
    <row r="205" spans="1:30" ht="12.75">
      <c r="A205" s="30" t="s">
        <v>188</v>
      </c>
      <c r="B205" s="30">
        <v>1100</v>
      </c>
      <c r="C205" s="30">
        <v>715</v>
      </c>
      <c r="D205" s="49">
        <v>2.86</v>
      </c>
      <c r="E205" s="30">
        <v>19.1</v>
      </c>
      <c r="F205" s="30">
        <v>70</v>
      </c>
      <c r="G205" s="30">
        <v>76</v>
      </c>
      <c r="H205" s="30">
        <v>48</v>
      </c>
      <c r="I205" s="53">
        <v>11.5</v>
      </c>
      <c r="J205" s="49">
        <v>0.42</v>
      </c>
      <c r="K205" s="49">
        <v>0.21</v>
      </c>
      <c r="L205" s="30" t="s">
        <v>508</v>
      </c>
      <c r="M205" s="30" t="s">
        <v>508</v>
      </c>
      <c r="N205" s="30" t="s">
        <v>508</v>
      </c>
      <c r="O205" s="30" t="s">
        <v>508</v>
      </c>
      <c r="P205" s="5"/>
      <c r="Q205" s="5"/>
      <c r="R205" s="5"/>
      <c r="S205" s="5"/>
      <c r="T205" s="5"/>
      <c r="U205" s="5"/>
      <c r="V205" s="2"/>
      <c r="W205" s="2"/>
      <c r="X205" s="2"/>
      <c r="Y205" s="2"/>
      <c r="Z205" s="2"/>
      <c r="AA205" s="2"/>
      <c r="AB205" s="2"/>
      <c r="AC205" s="2"/>
      <c r="AD205" s="2"/>
    </row>
    <row r="206" spans="1:30" ht="12.75">
      <c r="A206" s="30" t="s">
        <v>188</v>
      </c>
      <c r="B206" s="30">
        <v>1100</v>
      </c>
      <c r="C206" s="30">
        <v>715</v>
      </c>
      <c r="D206" s="49">
        <v>3.56</v>
      </c>
      <c r="E206" s="30">
        <v>18.1</v>
      </c>
      <c r="F206" s="30">
        <v>80</v>
      </c>
      <c r="G206" s="30">
        <v>90</v>
      </c>
      <c r="H206" s="30">
        <v>61</v>
      </c>
      <c r="I206" s="53">
        <v>13.7</v>
      </c>
      <c r="J206" s="49">
        <v>0.52</v>
      </c>
      <c r="K206" s="49">
        <v>0.26</v>
      </c>
      <c r="L206" s="30" t="s">
        <v>508</v>
      </c>
      <c r="M206" s="30" t="s">
        <v>508</v>
      </c>
      <c r="N206" s="30" t="s">
        <v>508</v>
      </c>
      <c r="O206" s="30" t="s">
        <v>508</v>
      </c>
      <c r="P206" s="5"/>
      <c r="Q206" s="5"/>
      <c r="R206" s="5"/>
      <c r="S206" s="5"/>
      <c r="T206" s="5"/>
      <c r="U206" s="5"/>
      <c r="V206" s="2"/>
      <c r="W206" s="2"/>
      <c r="X206" s="2"/>
      <c r="Y206" s="2"/>
      <c r="Z206" s="2"/>
      <c r="AA206" s="2"/>
      <c r="AB206" s="2"/>
      <c r="AC206" s="2"/>
      <c r="AD206" s="2"/>
    </row>
    <row r="207" spans="1:30" ht="13.5" thickBot="1">
      <c r="A207" s="50" t="s">
        <v>188</v>
      </c>
      <c r="B207" s="50">
        <v>1100</v>
      </c>
      <c r="C207" s="50">
        <v>715</v>
      </c>
      <c r="D207" s="51">
        <v>4</v>
      </c>
      <c r="E207" s="50">
        <v>16.7</v>
      </c>
      <c r="F207" s="50">
        <v>90</v>
      </c>
      <c r="G207" s="50">
        <v>104</v>
      </c>
      <c r="H207" s="50">
        <v>72</v>
      </c>
      <c r="I207" s="54">
        <v>15.9</v>
      </c>
      <c r="J207" s="51">
        <v>0.61</v>
      </c>
      <c r="K207" s="51">
        <v>0.3</v>
      </c>
      <c r="L207" s="50" t="s">
        <v>508</v>
      </c>
      <c r="M207" s="50" t="s">
        <v>508</v>
      </c>
      <c r="N207" s="50" t="s">
        <v>508</v>
      </c>
      <c r="O207" s="50" t="s">
        <v>508</v>
      </c>
      <c r="P207" s="5"/>
      <c r="Q207" s="5"/>
      <c r="R207" s="5"/>
      <c r="S207" s="5"/>
      <c r="T207" s="5"/>
      <c r="U207" s="5"/>
      <c r="V207" s="2"/>
      <c r="W207" s="2"/>
      <c r="X207" s="2"/>
      <c r="Y207" s="2"/>
      <c r="Z207" s="2"/>
      <c r="AA207" s="2"/>
      <c r="AB207" s="2"/>
      <c r="AC207" s="2"/>
      <c r="AD207" s="2"/>
    </row>
    <row r="208" spans="1:30" ht="12.75">
      <c r="A208" s="30" t="s">
        <v>188</v>
      </c>
      <c r="B208" s="30">
        <v>1100</v>
      </c>
      <c r="C208" s="30">
        <v>770</v>
      </c>
      <c r="D208" s="49">
        <v>0.68</v>
      </c>
      <c r="E208" s="30">
        <v>19.6</v>
      </c>
      <c r="F208" s="30">
        <v>50</v>
      </c>
      <c r="G208" s="30">
        <v>45</v>
      </c>
      <c r="H208" s="30">
        <v>20</v>
      </c>
      <c r="I208" s="53">
        <v>6.8</v>
      </c>
      <c r="J208" s="49">
        <v>0.2</v>
      </c>
      <c r="K208" s="49">
        <v>0.12</v>
      </c>
      <c r="L208" s="30" t="s">
        <v>508</v>
      </c>
      <c r="M208" s="30" t="s">
        <v>508</v>
      </c>
      <c r="N208" s="30" t="s">
        <v>508</v>
      </c>
      <c r="O208" s="30" t="s">
        <v>508</v>
      </c>
      <c r="P208" s="5"/>
      <c r="Q208" s="5"/>
      <c r="R208" s="5"/>
      <c r="S208" s="5"/>
      <c r="T208" s="5"/>
      <c r="U208" s="5"/>
      <c r="V208" s="2"/>
      <c r="W208" s="2"/>
      <c r="X208" s="2"/>
      <c r="Y208" s="2"/>
      <c r="Z208" s="2"/>
      <c r="AA208" s="2"/>
      <c r="AB208" s="2"/>
      <c r="AC208" s="2"/>
      <c r="AD208" s="2"/>
    </row>
    <row r="209" spans="1:30" ht="12.75">
      <c r="A209" s="30" t="s">
        <v>188</v>
      </c>
      <c r="B209" s="30">
        <v>1100</v>
      </c>
      <c r="C209" s="30">
        <v>770</v>
      </c>
      <c r="D209" s="49">
        <v>1.88</v>
      </c>
      <c r="E209" s="30">
        <v>20.7</v>
      </c>
      <c r="F209" s="30">
        <v>60</v>
      </c>
      <c r="G209" s="30">
        <v>61</v>
      </c>
      <c r="H209" s="30">
        <v>35</v>
      </c>
      <c r="I209" s="53">
        <v>8.8</v>
      </c>
      <c r="J209" s="49">
        <v>0.3</v>
      </c>
      <c r="K209" s="49">
        <v>0.16</v>
      </c>
      <c r="L209" s="30" t="s">
        <v>508</v>
      </c>
      <c r="M209" s="30" t="s">
        <v>508</v>
      </c>
      <c r="N209" s="30" t="s">
        <v>508</v>
      </c>
      <c r="O209" s="30" t="s">
        <v>508</v>
      </c>
      <c r="P209" s="5"/>
      <c r="Q209" s="5"/>
      <c r="R209" s="5"/>
      <c r="S209" s="5"/>
      <c r="T209" s="5"/>
      <c r="U209" s="5"/>
      <c r="V209" s="2"/>
      <c r="W209" s="2"/>
      <c r="X209" s="2"/>
      <c r="Y209" s="2"/>
      <c r="Z209" s="2"/>
      <c r="AA209" s="2"/>
      <c r="AB209" s="2"/>
      <c r="AC209" s="2"/>
      <c r="AD209" s="2"/>
    </row>
    <row r="210" spans="1:30" ht="12.75">
      <c r="A210" s="30" t="s">
        <v>188</v>
      </c>
      <c r="B210" s="30">
        <v>1100</v>
      </c>
      <c r="C210" s="30">
        <v>770</v>
      </c>
      <c r="D210" s="49">
        <v>2.86</v>
      </c>
      <c r="E210" s="30">
        <v>20.2</v>
      </c>
      <c r="F210" s="30">
        <v>70</v>
      </c>
      <c r="G210" s="30">
        <v>76</v>
      </c>
      <c r="H210" s="30">
        <v>48</v>
      </c>
      <c r="I210" s="53">
        <v>10.9</v>
      </c>
      <c r="J210" s="49">
        <v>0.39</v>
      </c>
      <c r="K210" s="49">
        <v>0.2</v>
      </c>
      <c r="L210" s="30" t="s">
        <v>508</v>
      </c>
      <c r="M210" s="30" t="s">
        <v>508</v>
      </c>
      <c r="N210" s="30" t="s">
        <v>508</v>
      </c>
      <c r="O210" s="30" t="s">
        <v>508</v>
      </c>
      <c r="P210" s="5"/>
      <c r="Q210" s="5"/>
      <c r="R210" s="5"/>
      <c r="S210" s="5"/>
      <c r="T210" s="5"/>
      <c r="U210" s="5"/>
      <c r="V210" s="2"/>
      <c r="W210" s="2"/>
      <c r="X210" s="2"/>
      <c r="Y210" s="2"/>
      <c r="Z210" s="2"/>
      <c r="AA210" s="2"/>
      <c r="AB210" s="2"/>
      <c r="AC210" s="2"/>
      <c r="AD210" s="2"/>
    </row>
    <row r="211" spans="1:30" ht="12.75">
      <c r="A211" s="30" t="s">
        <v>188</v>
      </c>
      <c r="B211" s="30">
        <v>1100</v>
      </c>
      <c r="C211" s="30">
        <v>770</v>
      </c>
      <c r="D211" s="49">
        <v>3.56</v>
      </c>
      <c r="E211" s="30">
        <v>19.1</v>
      </c>
      <c r="F211" s="30">
        <v>80</v>
      </c>
      <c r="G211" s="30">
        <v>90</v>
      </c>
      <c r="H211" s="30">
        <v>61</v>
      </c>
      <c r="I211" s="53">
        <v>12.9</v>
      </c>
      <c r="J211" s="49">
        <v>0.48</v>
      </c>
      <c r="K211" s="49">
        <v>0.24</v>
      </c>
      <c r="L211" s="30" t="s">
        <v>508</v>
      </c>
      <c r="M211" s="30" t="s">
        <v>508</v>
      </c>
      <c r="N211" s="30" t="s">
        <v>508</v>
      </c>
      <c r="O211" s="30" t="s">
        <v>508</v>
      </c>
      <c r="P211" s="5"/>
      <c r="Q211" s="5"/>
      <c r="R211" s="5"/>
      <c r="S211" s="5"/>
      <c r="T211" s="5"/>
      <c r="U211" s="5"/>
      <c r="V211" s="2"/>
      <c r="W211" s="2"/>
      <c r="X211" s="2"/>
      <c r="Y211" s="2"/>
      <c r="Z211" s="2"/>
      <c r="AA211" s="2"/>
      <c r="AB211" s="2"/>
      <c r="AC211" s="2"/>
      <c r="AD211" s="2"/>
    </row>
    <row r="212" spans="1:30" ht="13.5" thickBot="1">
      <c r="A212" s="50" t="s">
        <v>188</v>
      </c>
      <c r="B212" s="50">
        <v>1100</v>
      </c>
      <c r="C212" s="50">
        <v>770</v>
      </c>
      <c r="D212" s="51">
        <v>4</v>
      </c>
      <c r="E212" s="50">
        <v>17.6</v>
      </c>
      <c r="F212" s="50">
        <v>90</v>
      </c>
      <c r="G212" s="50">
        <v>104</v>
      </c>
      <c r="H212" s="50">
        <v>72</v>
      </c>
      <c r="I212" s="54">
        <v>14.8</v>
      </c>
      <c r="J212" s="51">
        <v>0.56</v>
      </c>
      <c r="K212" s="51">
        <v>0.28</v>
      </c>
      <c r="L212" s="50" t="s">
        <v>508</v>
      </c>
      <c r="M212" s="50" t="s">
        <v>508</v>
      </c>
      <c r="N212" s="50" t="s">
        <v>508</v>
      </c>
      <c r="O212" s="50" t="s">
        <v>508</v>
      </c>
      <c r="P212" s="5"/>
      <c r="Q212" s="5"/>
      <c r="R212" s="5"/>
      <c r="S212" s="5"/>
      <c r="T212" s="5"/>
      <c r="U212" s="5"/>
      <c r="V212" s="2"/>
      <c r="W212" s="2"/>
      <c r="X212" s="2"/>
      <c r="Y212" s="2"/>
      <c r="Z212" s="2"/>
      <c r="AA212" s="2"/>
      <c r="AB212" s="2"/>
      <c r="AC212" s="2"/>
      <c r="AD212" s="2"/>
    </row>
    <row r="213" spans="1:30" ht="12.75">
      <c r="A213" s="30" t="s">
        <v>188</v>
      </c>
      <c r="B213" s="30">
        <v>1100</v>
      </c>
      <c r="C213" s="30">
        <v>825</v>
      </c>
      <c r="D213" s="49">
        <v>0.68</v>
      </c>
      <c r="E213" s="30">
        <v>20.6</v>
      </c>
      <c r="F213" s="30">
        <v>50</v>
      </c>
      <c r="G213" s="30">
        <v>45</v>
      </c>
      <c r="H213" s="30">
        <v>20</v>
      </c>
      <c r="I213" s="53">
        <v>6.6</v>
      </c>
      <c r="J213" s="49">
        <v>0.19</v>
      </c>
      <c r="K213" s="49">
        <v>0.12</v>
      </c>
      <c r="L213" s="30" t="s">
        <v>508</v>
      </c>
      <c r="M213" s="30" t="s">
        <v>508</v>
      </c>
      <c r="N213" s="30" t="s">
        <v>508</v>
      </c>
      <c r="O213" s="30" t="s">
        <v>508</v>
      </c>
      <c r="P213" s="5"/>
      <c r="Q213" s="5"/>
      <c r="R213" s="5"/>
      <c r="S213" s="5"/>
      <c r="T213" s="5"/>
      <c r="U213" s="5"/>
      <c r="V213" s="2"/>
      <c r="W213" s="2"/>
      <c r="X213" s="2"/>
      <c r="Y213" s="2"/>
      <c r="Z213" s="2"/>
      <c r="AA213" s="2"/>
      <c r="AB213" s="2"/>
      <c r="AC213" s="2"/>
      <c r="AD213" s="2"/>
    </row>
    <row r="214" spans="1:30" ht="12.75">
      <c r="A214" s="30" t="s">
        <v>188</v>
      </c>
      <c r="B214" s="30">
        <v>1100</v>
      </c>
      <c r="C214" s="30">
        <v>825</v>
      </c>
      <c r="D214" s="49">
        <v>1.88</v>
      </c>
      <c r="E214" s="30">
        <v>21.8</v>
      </c>
      <c r="F214" s="30">
        <v>60</v>
      </c>
      <c r="G214" s="30">
        <v>61</v>
      </c>
      <c r="H214" s="30">
        <v>35</v>
      </c>
      <c r="I214" s="53">
        <v>8.4</v>
      </c>
      <c r="J214" s="49">
        <v>0.28</v>
      </c>
      <c r="K214" s="49">
        <v>0.16</v>
      </c>
      <c r="L214" s="30" t="s">
        <v>508</v>
      </c>
      <c r="M214" s="30" t="s">
        <v>508</v>
      </c>
      <c r="N214" s="30" t="s">
        <v>508</v>
      </c>
      <c r="O214" s="30" t="s">
        <v>508</v>
      </c>
      <c r="P214" s="5"/>
      <c r="Q214" s="5"/>
      <c r="R214" s="5"/>
      <c r="S214" s="5"/>
      <c r="T214" s="5"/>
      <c r="U214" s="5"/>
      <c r="V214" s="2"/>
      <c r="W214" s="2"/>
      <c r="X214" s="2"/>
      <c r="Y214" s="2"/>
      <c r="Z214" s="2"/>
      <c r="AA214" s="2"/>
      <c r="AB214" s="2"/>
      <c r="AC214" s="2"/>
      <c r="AD214" s="2"/>
    </row>
    <row r="215" spans="1:30" ht="12.75">
      <c r="A215" s="30" t="s">
        <v>188</v>
      </c>
      <c r="B215" s="30">
        <v>1100</v>
      </c>
      <c r="C215" s="30">
        <v>825</v>
      </c>
      <c r="D215" s="49">
        <v>2.86</v>
      </c>
      <c r="E215" s="30">
        <v>21.3</v>
      </c>
      <c r="F215" s="30">
        <v>70</v>
      </c>
      <c r="G215" s="30">
        <v>76</v>
      </c>
      <c r="H215" s="30">
        <v>48</v>
      </c>
      <c r="I215" s="53">
        <v>10.3</v>
      </c>
      <c r="J215" s="49">
        <v>0.37</v>
      </c>
      <c r="K215" s="49">
        <v>0.19</v>
      </c>
      <c r="L215" s="30" t="s">
        <v>508</v>
      </c>
      <c r="M215" s="30" t="s">
        <v>508</v>
      </c>
      <c r="N215" s="30" t="s">
        <v>508</v>
      </c>
      <c r="O215" s="30" t="s">
        <v>508</v>
      </c>
      <c r="P215" s="5"/>
      <c r="Q215" s="5"/>
      <c r="R215" s="5"/>
      <c r="S215" s="5"/>
      <c r="T215" s="5"/>
      <c r="U215" s="5"/>
      <c r="V215" s="2"/>
      <c r="W215" s="2"/>
      <c r="X215" s="2"/>
      <c r="Y215" s="2"/>
      <c r="Z215" s="2"/>
      <c r="AA215" s="2"/>
      <c r="AB215" s="2"/>
      <c r="AC215" s="2"/>
      <c r="AD215" s="2"/>
    </row>
    <row r="216" spans="1:30" ht="12.75">
      <c r="A216" s="30" t="s">
        <v>188</v>
      </c>
      <c r="B216" s="30">
        <v>1100</v>
      </c>
      <c r="C216" s="30">
        <v>825</v>
      </c>
      <c r="D216" s="52">
        <v>3.56</v>
      </c>
      <c r="E216" s="31">
        <v>20.1</v>
      </c>
      <c r="F216" s="31">
        <v>80</v>
      </c>
      <c r="G216" s="31">
        <v>90</v>
      </c>
      <c r="H216" s="31">
        <v>61</v>
      </c>
      <c r="I216" s="55">
        <v>12.1</v>
      </c>
      <c r="J216" s="52">
        <v>0.44</v>
      </c>
      <c r="K216" s="52">
        <v>0.23</v>
      </c>
      <c r="L216" s="30" t="s">
        <v>508</v>
      </c>
      <c r="M216" s="30" t="s">
        <v>508</v>
      </c>
      <c r="N216" s="30" t="s">
        <v>508</v>
      </c>
      <c r="O216" s="30" t="s">
        <v>508</v>
      </c>
      <c r="P216" s="5"/>
      <c r="Q216" s="5"/>
      <c r="R216" s="5"/>
      <c r="S216" s="5"/>
      <c r="T216" s="5"/>
      <c r="U216" s="5"/>
      <c r="V216" s="2"/>
      <c r="W216" s="2"/>
      <c r="X216" s="2"/>
      <c r="Y216" s="2"/>
      <c r="Z216" s="2"/>
      <c r="AA216" s="2"/>
      <c r="AB216" s="2"/>
      <c r="AC216" s="2"/>
      <c r="AD216" s="2"/>
    </row>
    <row r="217" spans="1:30" ht="13.5" thickBot="1">
      <c r="A217" s="50" t="s">
        <v>188</v>
      </c>
      <c r="B217" s="50">
        <v>1100</v>
      </c>
      <c r="C217" s="50">
        <v>825</v>
      </c>
      <c r="D217" s="51">
        <v>4</v>
      </c>
      <c r="E217" s="50">
        <v>18.6</v>
      </c>
      <c r="F217" s="50">
        <v>90</v>
      </c>
      <c r="G217" s="50">
        <v>104</v>
      </c>
      <c r="H217" s="50">
        <v>72</v>
      </c>
      <c r="I217" s="54">
        <v>13.9</v>
      </c>
      <c r="J217" s="51">
        <v>0.52</v>
      </c>
      <c r="K217" s="51">
        <v>0.26</v>
      </c>
      <c r="L217" s="50" t="s">
        <v>508</v>
      </c>
      <c r="M217" s="50" t="s">
        <v>508</v>
      </c>
      <c r="N217" s="50" t="s">
        <v>508</v>
      </c>
      <c r="O217" s="50" t="s">
        <v>508</v>
      </c>
      <c r="P217" s="5"/>
      <c r="Q217" s="5"/>
      <c r="R217" s="5"/>
      <c r="S217" s="5"/>
      <c r="T217" s="5"/>
      <c r="U217" s="5"/>
      <c r="V217" s="2"/>
      <c r="W217" s="2"/>
      <c r="X217" s="2"/>
      <c r="Y217" s="2"/>
      <c r="Z217" s="2"/>
      <c r="AA217" s="2"/>
      <c r="AB217" s="2"/>
      <c r="AC217" s="2"/>
      <c r="AD217" s="2"/>
    </row>
    <row r="218" spans="1:30" ht="12.75">
      <c r="A218" s="30" t="s">
        <v>188</v>
      </c>
      <c r="B218" s="30">
        <v>1100</v>
      </c>
      <c r="C218" s="30">
        <v>880</v>
      </c>
      <c r="D218" s="49">
        <v>0.68</v>
      </c>
      <c r="E218" s="30">
        <v>21.7</v>
      </c>
      <c r="F218" s="30">
        <v>50</v>
      </c>
      <c r="G218" s="30">
        <v>45</v>
      </c>
      <c r="H218" s="30">
        <v>20</v>
      </c>
      <c r="I218" s="53">
        <v>6.5</v>
      </c>
      <c r="J218" s="49">
        <v>0.19</v>
      </c>
      <c r="K218" s="49">
        <v>0.12</v>
      </c>
      <c r="L218" s="30" t="s">
        <v>508</v>
      </c>
      <c r="M218" s="30" t="s">
        <v>508</v>
      </c>
      <c r="N218" s="30" t="s">
        <v>508</v>
      </c>
      <c r="O218" s="30" t="s">
        <v>508</v>
      </c>
      <c r="P218" s="5"/>
      <c r="Q218" s="5"/>
      <c r="R218" s="5"/>
      <c r="S218" s="5"/>
      <c r="T218" s="5"/>
      <c r="U218" s="5"/>
      <c r="V218" s="2"/>
      <c r="W218" s="2"/>
      <c r="X218" s="2"/>
      <c r="Y218" s="2"/>
      <c r="Z218" s="2"/>
      <c r="AA218" s="2"/>
      <c r="AB218" s="2"/>
      <c r="AC218" s="2"/>
      <c r="AD218" s="2"/>
    </row>
    <row r="219" spans="1:30" ht="12.75">
      <c r="A219" s="30" t="s">
        <v>188</v>
      </c>
      <c r="B219" s="30">
        <v>1100</v>
      </c>
      <c r="C219" s="30">
        <v>880</v>
      </c>
      <c r="D219" s="49">
        <v>1.88</v>
      </c>
      <c r="E219" s="30">
        <v>22.9</v>
      </c>
      <c r="F219" s="30">
        <v>60</v>
      </c>
      <c r="G219" s="30">
        <v>61</v>
      </c>
      <c r="H219" s="30">
        <v>35</v>
      </c>
      <c r="I219" s="53">
        <v>8.1</v>
      </c>
      <c r="J219" s="49">
        <v>0.27</v>
      </c>
      <c r="K219" s="49">
        <v>0.15</v>
      </c>
      <c r="L219" s="30" t="s">
        <v>508</v>
      </c>
      <c r="M219" s="30" t="s">
        <v>508</v>
      </c>
      <c r="N219" s="30" t="s">
        <v>508</v>
      </c>
      <c r="O219" s="30" t="s">
        <v>508</v>
      </c>
      <c r="P219" s="5"/>
      <c r="Q219" s="5"/>
      <c r="R219" s="5"/>
      <c r="S219" s="5"/>
      <c r="T219" s="5"/>
      <c r="U219" s="5"/>
      <c r="V219" s="2"/>
      <c r="W219" s="2"/>
      <c r="X219" s="2"/>
      <c r="Y219" s="2"/>
      <c r="Z219" s="2"/>
      <c r="AA219" s="2"/>
      <c r="AB219" s="2"/>
      <c r="AC219" s="2"/>
      <c r="AD219" s="2"/>
    </row>
    <row r="220" spans="1:30" ht="12.75">
      <c r="A220" s="30" t="s">
        <v>188</v>
      </c>
      <c r="B220" s="30">
        <v>1100</v>
      </c>
      <c r="C220" s="30">
        <v>880</v>
      </c>
      <c r="D220" s="49">
        <v>2.86</v>
      </c>
      <c r="E220" s="30">
        <v>22.4</v>
      </c>
      <c r="F220" s="30">
        <v>70</v>
      </c>
      <c r="G220" s="30">
        <v>76</v>
      </c>
      <c r="H220" s="30">
        <v>48</v>
      </c>
      <c r="I220" s="53">
        <v>9.8</v>
      </c>
      <c r="J220" s="49">
        <v>0.34</v>
      </c>
      <c r="K220" s="49">
        <v>0.18</v>
      </c>
      <c r="L220" s="30" t="s">
        <v>508</v>
      </c>
      <c r="M220" s="30" t="s">
        <v>508</v>
      </c>
      <c r="N220" s="30" t="s">
        <v>508</v>
      </c>
      <c r="O220" s="30" t="s">
        <v>508</v>
      </c>
      <c r="P220" s="5"/>
      <c r="Q220" s="5"/>
      <c r="R220" s="5"/>
      <c r="S220" s="5"/>
      <c r="T220" s="5"/>
      <c r="U220" s="5"/>
      <c r="V220" s="2"/>
      <c r="W220" s="2"/>
      <c r="X220" s="2"/>
      <c r="Y220" s="2"/>
      <c r="Z220" s="2"/>
      <c r="AA220" s="2"/>
      <c r="AB220" s="2"/>
      <c r="AC220" s="2"/>
      <c r="AD220" s="2"/>
    </row>
    <row r="221" spans="1:30" ht="12.75">
      <c r="A221" s="30" t="s">
        <v>188</v>
      </c>
      <c r="B221" s="30">
        <v>1100</v>
      </c>
      <c r="C221" s="30">
        <v>880</v>
      </c>
      <c r="D221" s="49">
        <v>3.56</v>
      </c>
      <c r="E221" s="30">
        <v>21.1</v>
      </c>
      <c r="F221" s="30">
        <v>80</v>
      </c>
      <c r="G221" s="30">
        <v>90</v>
      </c>
      <c r="H221" s="30">
        <v>61</v>
      </c>
      <c r="I221" s="53">
        <v>11.4</v>
      </c>
      <c r="J221" s="49">
        <v>0.42</v>
      </c>
      <c r="K221" s="49">
        <v>0.22</v>
      </c>
      <c r="L221" s="30" t="s">
        <v>508</v>
      </c>
      <c r="M221" s="30" t="s">
        <v>508</v>
      </c>
      <c r="N221" s="30" t="s">
        <v>508</v>
      </c>
      <c r="O221" s="30" t="s">
        <v>508</v>
      </c>
      <c r="P221" s="5"/>
      <c r="Q221" s="5"/>
      <c r="R221" s="5"/>
      <c r="S221" s="5"/>
      <c r="T221" s="5"/>
      <c r="U221" s="5"/>
      <c r="V221" s="2"/>
      <c r="W221" s="2"/>
      <c r="X221" s="2"/>
      <c r="Y221" s="2"/>
      <c r="Z221" s="2"/>
      <c r="AA221" s="2"/>
      <c r="AB221" s="2"/>
      <c r="AC221" s="2"/>
      <c r="AD221" s="2"/>
    </row>
    <row r="222" spans="1:30" ht="13.5" thickBot="1">
      <c r="A222" s="50" t="s">
        <v>188</v>
      </c>
      <c r="B222" s="50">
        <v>1100</v>
      </c>
      <c r="C222" s="50">
        <v>880</v>
      </c>
      <c r="D222" s="51">
        <v>4</v>
      </c>
      <c r="E222" s="50">
        <v>19.5</v>
      </c>
      <c r="F222" s="50">
        <v>90</v>
      </c>
      <c r="G222" s="50">
        <v>104</v>
      </c>
      <c r="H222" s="50">
        <v>72</v>
      </c>
      <c r="I222" s="54">
        <v>13.1</v>
      </c>
      <c r="J222" s="51">
        <v>0.48</v>
      </c>
      <c r="K222" s="51">
        <v>0.25</v>
      </c>
      <c r="L222" s="50" t="s">
        <v>508</v>
      </c>
      <c r="M222" s="50" t="s">
        <v>508</v>
      </c>
      <c r="N222" s="50" t="s">
        <v>508</v>
      </c>
      <c r="O222" s="50" t="s">
        <v>508</v>
      </c>
      <c r="P222" s="5"/>
      <c r="Q222" s="5"/>
      <c r="R222" s="5"/>
      <c r="S222" s="5"/>
      <c r="T222" s="5"/>
      <c r="U222" s="5"/>
      <c r="V222" s="2"/>
      <c r="W222" s="2"/>
      <c r="X222" s="2"/>
      <c r="Y222" s="2"/>
      <c r="Z222" s="2"/>
      <c r="AA222" s="2"/>
      <c r="AB222" s="2"/>
      <c r="AC222" s="2"/>
      <c r="AD222" s="2"/>
    </row>
    <row r="223" spans="1:30" ht="12.75">
      <c r="A223" s="30" t="s">
        <v>188</v>
      </c>
      <c r="B223" s="30">
        <v>1200</v>
      </c>
      <c r="C223" s="30">
        <v>660</v>
      </c>
      <c r="D223" s="49">
        <v>0.72</v>
      </c>
      <c r="E223" s="30">
        <v>17.5</v>
      </c>
      <c r="F223" s="30">
        <v>50</v>
      </c>
      <c r="G223" s="30">
        <v>45</v>
      </c>
      <c r="H223" s="30">
        <v>20</v>
      </c>
      <c r="I223" s="53">
        <v>7.3</v>
      </c>
      <c r="J223" s="49">
        <v>0.22</v>
      </c>
      <c r="K223" s="49">
        <v>0.13</v>
      </c>
      <c r="L223" s="30" t="s">
        <v>508</v>
      </c>
      <c r="M223" s="30" t="s">
        <v>508</v>
      </c>
      <c r="N223" s="30" t="s">
        <v>508</v>
      </c>
      <c r="O223" s="30" t="s">
        <v>508</v>
      </c>
      <c r="P223" s="5"/>
      <c r="Q223" s="5"/>
      <c r="R223" s="5"/>
      <c r="S223" s="5"/>
      <c r="T223" s="5"/>
      <c r="U223" s="5"/>
      <c r="V223" s="2"/>
      <c r="W223" s="2"/>
      <c r="X223" s="2"/>
      <c r="Y223" s="2"/>
      <c r="Z223" s="2"/>
      <c r="AA223" s="2"/>
      <c r="AB223" s="2"/>
      <c r="AC223" s="2"/>
      <c r="AD223" s="2"/>
    </row>
    <row r="224" spans="1:30" ht="12.75">
      <c r="A224" s="30" t="s">
        <v>188</v>
      </c>
      <c r="B224" s="30">
        <v>1200</v>
      </c>
      <c r="C224" s="30">
        <v>660</v>
      </c>
      <c r="D224" s="49">
        <v>2</v>
      </c>
      <c r="E224" s="30">
        <v>18.4</v>
      </c>
      <c r="F224" s="30">
        <v>60</v>
      </c>
      <c r="G224" s="30">
        <v>61</v>
      </c>
      <c r="H224" s="30">
        <v>35</v>
      </c>
      <c r="I224" s="53">
        <v>10.2</v>
      </c>
      <c r="J224" s="49">
        <v>0.36</v>
      </c>
      <c r="K224" s="49">
        <v>0.19</v>
      </c>
      <c r="L224" s="30" t="s">
        <v>508</v>
      </c>
      <c r="M224" s="30" t="s">
        <v>508</v>
      </c>
      <c r="N224" s="30" t="s">
        <v>508</v>
      </c>
      <c r="O224" s="30" t="s">
        <v>508</v>
      </c>
      <c r="P224" s="5"/>
      <c r="Q224" s="5"/>
      <c r="R224" s="5"/>
      <c r="S224" s="5"/>
      <c r="T224" s="5"/>
      <c r="U224" s="5"/>
      <c r="V224" s="2"/>
      <c r="W224" s="2"/>
      <c r="X224" s="2"/>
      <c r="Y224" s="2"/>
      <c r="Z224" s="2"/>
      <c r="AA224" s="2"/>
      <c r="AB224" s="2"/>
      <c r="AC224" s="2"/>
      <c r="AD224" s="2"/>
    </row>
    <row r="225" spans="1:30" ht="12.75">
      <c r="A225" s="30" t="s">
        <v>188</v>
      </c>
      <c r="B225" s="30">
        <v>1200</v>
      </c>
      <c r="C225" s="30">
        <v>660</v>
      </c>
      <c r="D225" s="49">
        <v>3.04</v>
      </c>
      <c r="E225" s="30">
        <v>18</v>
      </c>
      <c r="F225" s="30">
        <v>70</v>
      </c>
      <c r="G225" s="30">
        <v>76</v>
      </c>
      <c r="H225" s="30">
        <v>48</v>
      </c>
      <c r="I225" s="53">
        <v>13</v>
      </c>
      <c r="J225" s="49">
        <v>0.49</v>
      </c>
      <c r="K225" s="49">
        <v>0.24</v>
      </c>
      <c r="L225" s="30" t="s">
        <v>508</v>
      </c>
      <c r="M225" s="30" t="s">
        <v>508</v>
      </c>
      <c r="N225" s="30" t="s">
        <v>508</v>
      </c>
      <c r="O225" s="30" t="s">
        <v>508</v>
      </c>
      <c r="P225" s="5"/>
      <c r="Q225" s="5"/>
      <c r="R225" s="5"/>
      <c r="S225" s="5"/>
      <c r="T225" s="5"/>
      <c r="U225" s="5"/>
      <c r="V225" s="2"/>
      <c r="W225" s="2"/>
      <c r="X225" s="2"/>
      <c r="Y225" s="2"/>
      <c r="Z225" s="2"/>
      <c r="AA225" s="2"/>
      <c r="AB225" s="2"/>
      <c r="AC225" s="2"/>
      <c r="AD225" s="2"/>
    </row>
    <row r="226" spans="1:30" ht="12.75">
      <c r="A226" s="30" t="s">
        <v>188</v>
      </c>
      <c r="B226" s="30">
        <v>1200</v>
      </c>
      <c r="C226" s="30">
        <v>660</v>
      </c>
      <c r="D226" s="49">
        <v>3.78</v>
      </c>
      <c r="E226" s="30">
        <v>17</v>
      </c>
      <c r="F226" s="30">
        <v>80</v>
      </c>
      <c r="G226" s="30">
        <v>90</v>
      </c>
      <c r="H226" s="30">
        <v>61</v>
      </c>
      <c r="I226" s="53">
        <v>15.8</v>
      </c>
      <c r="J226" s="49">
        <v>0.61</v>
      </c>
      <c r="K226" s="49">
        <v>0.29</v>
      </c>
      <c r="L226" s="30" t="s">
        <v>508</v>
      </c>
      <c r="M226" s="30" t="s">
        <v>508</v>
      </c>
      <c r="N226" s="30" t="s">
        <v>508</v>
      </c>
      <c r="O226" s="30" t="s">
        <v>508</v>
      </c>
      <c r="P226" s="5"/>
      <c r="Q226" s="5"/>
      <c r="R226" s="5"/>
      <c r="S226" s="5"/>
      <c r="T226" s="5"/>
      <c r="U226" s="5"/>
      <c r="V226" s="2"/>
      <c r="W226" s="2"/>
      <c r="X226" s="2"/>
      <c r="Y226" s="2"/>
      <c r="Z226" s="2"/>
      <c r="AA226" s="2"/>
      <c r="AB226" s="2"/>
      <c r="AC226" s="2"/>
      <c r="AD226" s="2"/>
    </row>
    <row r="227" spans="1:30" ht="13.5" thickBot="1">
      <c r="A227" s="50" t="s">
        <v>188</v>
      </c>
      <c r="B227" s="50">
        <v>1200</v>
      </c>
      <c r="C227" s="50">
        <v>660</v>
      </c>
      <c r="D227" s="51">
        <v>4.25</v>
      </c>
      <c r="E227" s="50">
        <v>15.7</v>
      </c>
      <c r="F227" s="50">
        <v>90</v>
      </c>
      <c r="G227" s="50">
        <v>104</v>
      </c>
      <c r="H227" s="50">
        <v>72</v>
      </c>
      <c r="I227" s="54">
        <v>18.4</v>
      </c>
      <c r="J227" s="51">
        <v>0.72</v>
      </c>
      <c r="K227" s="51">
        <v>0.34</v>
      </c>
      <c r="L227" s="50" t="s">
        <v>508</v>
      </c>
      <c r="M227" s="50" t="s">
        <v>508</v>
      </c>
      <c r="N227" s="50" t="s">
        <v>508</v>
      </c>
      <c r="O227" s="50" t="s">
        <v>508</v>
      </c>
      <c r="P227" s="5"/>
      <c r="Q227" s="5"/>
      <c r="R227" s="5"/>
      <c r="S227" s="5"/>
      <c r="T227" s="5"/>
      <c r="U227" s="5"/>
      <c r="V227" s="2"/>
      <c r="W227" s="2"/>
      <c r="X227" s="2"/>
      <c r="Y227" s="2"/>
      <c r="Z227" s="2"/>
      <c r="AA227" s="2"/>
      <c r="AB227" s="2"/>
      <c r="AC227" s="2"/>
      <c r="AD227" s="2"/>
    </row>
    <row r="228" spans="1:30" ht="12.75">
      <c r="A228" s="30" t="s">
        <v>188</v>
      </c>
      <c r="B228" s="30">
        <v>1200</v>
      </c>
      <c r="C228" s="30">
        <v>720</v>
      </c>
      <c r="D228" s="49">
        <v>0.72</v>
      </c>
      <c r="E228" s="30">
        <v>18.6</v>
      </c>
      <c r="F228" s="30">
        <v>50</v>
      </c>
      <c r="G228" s="30">
        <v>45</v>
      </c>
      <c r="H228" s="30">
        <v>20</v>
      </c>
      <c r="I228" s="53">
        <v>7.1</v>
      </c>
      <c r="J228" s="49">
        <v>0.21</v>
      </c>
      <c r="K228" s="49">
        <v>0.13</v>
      </c>
      <c r="L228" s="30" t="s">
        <v>508</v>
      </c>
      <c r="M228" s="30" t="s">
        <v>508</v>
      </c>
      <c r="N228" s="30" t="s">
        <v>508</v>
      </c>
      <c r="O228" s="30" t="s">
        <v>508</v>
      </c>
      <c r="P228" s="5"/>
      <c r="Q228" s="5"/>
      <c r="R228" s="5"/>
      <c r="S228" s="5"/>
      <c r="T228" s="5"/>
      <c r="U228" s="5"/>
      <c r="V228" s="2"/>
      <c r="W228" s="2"/>
      <c r="X228" s="2"/>
      <c r="Y228" s="2"/>
      <c r="Z228" s="2"/>
      <c r="AA228" s="2"/>
      <c r="AB228" s="2"/>
      <c r="AC228" s="2"/>
      <c r="AD228" s="2"/>
    </row>
    <row r="229" spans="1:30" ht="12.75">
      <c r="A229" s="30" t="s">
        <v>188</v>
      </c>
      <c r="B229" s="30">
        <v>1200</v>
      </c>
      <c r="C229" s="30">
        <v>720</v>
      </c>
      <c r="D229" s="49">
        <v>2</v>
      </c>
      <c r="E229" s="30">
        <v>19.7</v>
      </c>
      <c r="F229" s="30">
        <v>60</v>
      </c>
      <c r="G229" s="30">
        <v>61</v>
      </c>
      <c r="H229" s="30">
        <v>35</v>
      </c>
      <c r="I229" s="53">
        <v>9.7</v>
      </c>
      <c r="J229" s="49">
        <v>0.34</v>
      </c>
      <c r="K229" s="49">
        <v>0.18</v>
      </c>
      <c r="L229" s="30" t="s">
        <v>508</v>
      </c>
      <c r="M229" s="30" t="s">
        <v>508</v>
      </c>
      <c r="N229" s="30" t="s">
        <v>508</v>
      </c>
      <c r="O229" s="30" t="s">
        <v>508</v>
      </c>
      <c r="P229" s="5"/>
      <c r="Q229" s="5"/>
      <c r="R229" s="5"/>
      <c r="S229" s="5"/>
      <c r="T229" s="5"/>
      <c r="U229" s="5"/>
      <c r="V229" s="2"/>
      <c r="W229" s="2"/>
      <c r="X229" s="2"/>
      <c r="Y229" s="2"/>
      <c r="Z229" s="2"/>
      <c r="AA229" s="2"/>
      <c r="AB229" s="2"/>
      <c r="AC229" s="2"/>
      <c r="AD229" s="2"/>
    </row>
    <row r="230" spans="1:30" ht="12.75">
      <c r="A230" s="30" t="s">
        <v>188</v>
      </c>
      <c r="B230" s="30">
        <v>1200</v>
      </c>
      <c r="C230" s="30">
        <v>720</v>
      </c>
      <c r="D230" s="49">
        <v>3.04</v>
      </c>
      <c r="E230" s="30">
        <v>19.2</v>
      </c>
      <c r="F230" s="30">
        <v>70</v>
      </c>
      <c r="G230" s="30">
        <v>76</v>
      </c>
      <c r="H230" s="30">
        <v>48</v>
      </c>
      <c r="I230" s="53">
        <v>12.2</v>
      </c>
      <c r="J230" s="49">
        <v>0.45</v>
      </c>
      <c r="K230" s="49">
        <v>0.23</v>
      </c>
      <c r="L230" s="30" t="s">
        <v>508</v>
      </c>
      <c r="M230" s="30" t="s">
        <v>508</v>
      </c>
      <c r="N230" s="30" t="s">
        <v>508</v>
      </c>
      <c r="O230" s="30" t="s">
        <v>508</v>
      </c>
      <c r="P230" s="5"/>
      <c r="Q230" s="5"/>
      <c r="R230" s="5"/>
      <c r="S230" s="5"/>
      <c r="T230" s="5"/>
      <c r="U230" s="5"/>
      <c r="V230" s="2"/>
      <c r="W230" s="2"/>
      <c r="X230" s="2"/>
      <c r="Y230" s="2"/>
      <c r="Z230" s="2"/>
      <c r="AA230" s="2"/>
      <c r="AB230" s="2"/>
      <c r="AC230" s="2"/>
      <c r="AD230" s="2"/>
    </row>
    <row r="231" spans="1:30" ht="12.75">
      <c r="A231" s="30" t="s">
        <v>188</v>
      </c>
      <c r="B231" s="30">
        <v>1200</v>
      </c>
      <c r="C231" s="30">
        <v>720</v>
      </c>
      <c r="D231" s="49">
        <v>3.78</v>
      </c>
      <c r="E231" s="30">
        <v>18.2</v>
      </c>
      <c r="F231" s="30">
        <v>80</v>
      </c>
      <c r="G231" s="30">
        <v>90</v>
      </c>
      <c r="H231" s="30">
        <v>61</v>
      </c>
      <c r="I231" s="53">
        <v>14.6</v>
      </c>
      <c r="J231" s="49">
        <v>0.56</v>
      </c>
      <c r="K231" s="49">
        <v>0.27</v>
      </c>
      <c r="L231" s="30" t="s">
        <v>508</v>
      </c>
      <c r="M231" s="30" t="s">
        <v>508</v>
      </c>
      <c r="N231" s="30" t="s">
        <v>508</v>
      </c>
      <c r="O231" s="30" t="s">
        <v>508</v>
      </c>
      <c r="P231" s="5"/>
      <c r="Q231" s="5"/>
      <c r="R231" s="5"/>
      <c r="S231" s="5"/>
      <c r="T231" s="5"/>
      <c r="U231" s="5"/>
      <c r="V231" s="2"/>
      <c r="W231" s="2"/>
      <c r="X231" s="2"/>
      <c r="Y231" s="2"/>
      <c r="Z231" s="2"/>
      <c r="AA231" s="2"/>
      <c r="AB231" s="2"/>
      <c r="AC231" s="2"/>
      <c r="AD231" s="2"/>
    </row>
    <row r="232" spans="1:30" ht="13.5" thickBot="1">
      <c r="A232" s="50" t="s">
        <v>188</v>
      </c>
      <c r="B232" s="50">
        <v>1200</v>
      </c>
      <c r="C232" s="50">
        <v>720</v>
      </c>
      <c r="D232" s="51">
        <v>4.25</v>
      </c>
      <c r="E232" s="50">
        <v>16.8</v>
      </c>
      <c r="F232" s="50">
        <v>90</v>
      </c>
      <c r="G232" s="50">
        <v>104</v>
      </c>
      <c r="H232" s="50">
        <v>72</v>
      </c>
      <c r="I232" s="54">
        <v>17</v>
      </c>
      <c r="J232" s="51">
        <v>0.66</v>
      </c>
      <c r="K232" s="51">
        <v>0.32</v>
      </c>
      <c r="L232" s="50" t="s">
        <v>508</v>
      </c>
      <c r="M232" s="50" t="s">
        <v>508</v>
      </c>
      <c r="N232" s="50" t="s">
        <v>508</v>
      </c>
      <c r="O232" s="50" t="s">
        <v>508</v>
      </c>
      <c r="P232" s="5"/>
      <c r="Q232" s="5"/>
      <c r="R232" s="5"/>
      <c r="S232" s="5"/>
      <c r="T232" s="5"/>
      <c r="U232" s="5"/>
      <c r="V232" s="2"/>
      <c r="W232" s="2"/>
      <c r="X232" s="2"/>
      <c r="Y232" s="2"/>
      <c r="Z232" s="2"/>
      <c r="AA232" s="2"/>
      <c r="AB232" s="2"/>
      <c r="AC232" s="2"/>
      <c r="AD232" s="2"/>
    </row>
    <row r="233" spans="1:30" ht="12.75">
      <c r="A233" s="30" t="s">
        <v>188</v>
      </c>
      <c r="B233" s="30">
        <v>1200</v>
      </c>
      <c r="C233" s="30">
        <v>780</v>
      </c>
      <c r="D233" s="49">
        <v>0.72</v>
      </c>
      <c r="E233" s="30">
        <v>19.8</v>
      </c>
      <c r="F233" s="30">
        <v>50</v>
      </c>
      <c r="G233" s="30">
        <v>45</v>
      </c>
      <c r="H233" s="30">
        <v>20</v>
      </c>
      <c r="I233" s="53">
        <v>6.9</v>
      </c>
      <c r="J233" s="49">
        <v>0.2</v>
      </c>
      <c r="K233" s="49">
        <v>0.13</v>
      </c>
      <c r="L233" s="30" t="s">
        <v>508</v>
      </c>
      <c r="M233" s="30" t="s">
        <v>508</v>
      </c>
      <c r="N233" s="30" t="s">
        <v>508</v>
      </c>
      <c r="O233" s="30" t="s">
        <v>508</v>
      </c>
      <c r="P233" s="5"/>
      <c r="Q233" s="5"/>
      <c r="R233" s="5"/>
      <c r="S233" s="5"/>
      <c r="T233" s="5"/>
      <c r="U233" s="5"/>
      <c r="V233" s="2"/>
      <c r="W233" s="2"/>
      <c r="X233" s="2"/>
      <c r="Y233" s="2"/>
      <c r="Z233" s="2"/>
      <c r="AA233" s="2"/>
      <c r="AB233" s="2"/>
      <c r="AC233" s="2"/>
      <c r="AD233" s="2"/>
    </row>
    <row r="234" spans="1:30" ht="12.75">
      <c r="A234" s="30" t="s">
        <v>188</v>
      </c>
      <c r="B234" s="30">
        <v>1200</v>
      </c>
      <c r="C234" s="30">
        <v>780</v>
      </c>
      <c r="D234" s="49">
        <v>2</v>
      </c>
      <c r="E234" s="30">
        <v>20.9</v>
      </c>
      <c r="F234" s="30">
        <v>60</v>
      </c>
      <c r="G234" s="30">
        <v>61</v>
      </c>
      <c r="H234" s="30">
        <v>35</v>
      </c>
      <c r="I234" s="53">
        <v>9.2</v>
      </c>
      <c r="J234" s="49">
        <v>0.32</v>
      </c>
      <c r="K234" s="49">
        <v>0.17</v>
      </c>
      <c r="L234" s="30" t="s">
        <v>508</v>
      </c>
      <c r="M234" s="30" t="s">
        <v>508</v>
      </c>
      <c r="N234" s="30" t="s">
        <v>508</v>
      </c>
      <c r="O234" s="30" t="s">
        <v>508</v>
      </c>
      <c r="P234" s="5"/>
      <c r="Q234" s="5"/>
      <c r="R234" s="5"/>
      <c r="S234" s="5"/>
      <c r="T234" s="5"/>
      <c r="U234" s="5"/>
      <c r="V234" s="2"/>
      <c r="W234" s="2"/>
      <c r="X234" s="2"/>
      <c r="Y234" s="2"/>
      <c r="Z234" s="2"/>
      <c r="AA234" s="2"/>
      <c r="AB234" s="2"/>
      <c r="AC234" s="2"/>
      <c r="AD234" s="2"/>
    </row>
    <row r="235" spans="1:30" ht="12.75">
      <c r="A235" s="30" t="s">
        <v>188</v>
      </c>
      <c r="B235" s="30">
        <v>1200</v>
      </c>
      <c r="C235" s="30">
        <v>780</v>
      </c>
      <c r="D235" s="49">
        <v>3.04</v>
      </c>
      <c r="E235" s="30">
        <v>20.4</v>
      </c>
      <c r="F235" s="30">
        <v>70</v>
      </c>
      <c r="G235" s="30">
        <v>76</v>
      </c>
      <c r="H235" s="30">
        <v>48</v>
      </c>
      <c r="I235" s="53">
        <v>11.4</v>
      </c>
      <c r="J235" s="49">
        <v>0.42</v>
      </c>
      <c r="K235" s="49">
        <v>0.21</v>
      </c>
      <c r="L235" s="30" t="s">
        <v>508</v>
      </c>
      <c r="M235" s="30" t="s">
        <v>508</v>
      </c>
      <c r="N235" s="30" t="s">
        <v>508</v>
      </c>
      <c r="O235" s="30" t="s">
        <v>508</v>
      </c>
      <c r="P235" s="5"/>
      <c r="Q235" s="5"/>
      <c r="R235" s="5"/>
      <c r="S235" s="5"/>
      <c r="T235" s="5"/>
      <c r="U235" s="5"/>
      <c r="V235" s="2"/>
      <c r="W235" s="2"/>
      <c r="X235" s="2"/>
      <c r="Y235" s="2"/>
      <c r="Z235" s="2"/>
      <c r="AA235" s="2"/>
      <c r="AB235" s="2"/>
      <c r="AC235" s="2"/>
      <c r="AD235" s="2"/>
    </row>
    <row r="236" spans="1:30" ht="12.75">
      <c r="A236" s="30" t="s">
        <v>188</v>
      </c>
      <c r="B236" s="30">
        <v>1200</v>
      </c>
      <c r="C236" s="30">
        <v>780</v>
      </c>
      <c r="D236" s="49">
        <v>3.78</v>
      </c>
      <c r="E236" s="30">
        <v>19.3</v>
      </c>
      <c r="F236" s="30">
        <v>80</v>
      </c>
      <c r="G236" s="30">
        <v>90</v>
      </c>
      <c r="H236" s="30">
        <v>61</v>
      </c>
      <c r="I236" s="53">
        <v>13.6</v>
      </c>
      <c r="J236" s="49">
        <v>0.52</v>
      </c>
      <c r="K236" s="49">
        <v>0.26</v>
      </c>
      <c r="L236" s="30" t="s">
        <v>508</v>
      </c>
      <c r="M236" s="30" t="s">
        <v>508</v>
      </c>
      <c r="N236" s="30" t="s">
        <v>508</v>
      </c>
      <c r="O236" s="30" t="s">
        <v>508</v>
      </c>
      <c r="P236" s="5"/>
      <c r="Q236" s="5"/>
      <c r="R236" s="5"/>
      <c r="S236" s="5"/>
      <c r="T236" s="5"/>
      <c r="U236" s="5"/>
      <c r="V236" s="2"/>
      <c r="W236" s="2"/>
      <c r="X236" s="2"/>
      <c r="Y236" s="2"/>
      <c r="Z236" s="2"/>
      <c r="AA236" s="2"/>
      <c r="AB236" s="2"/>
      <c r="AC236" s="2"/>
      <c r="AD236" s="2"/>
    </row>
    <row r="237" spans="1:30" ht="13.5" thickBot="1">
      <c r="A237" s="50" t="s">
        <v>188</v>
      </c>
      <c r="B237" s="50">
        <v>1200</v>
      </c>
      <c r="C237" s="50">
        <v>780</v>
      </c>
      <c r="D237" s="51">
        <v>4.25</v>
      </c>
      <c r="E237" s="50">
        <v>17.8</v>
      </c>
      <c r="F237" s="50">
        <v>90</v>
      </c>
      <c r="G237" s="50">
        <v>104</v>
      </c>
      <c r="H237" s="50">
        <v>72</v>
      </c>
      <c r="I237" s="54">
        <v>15.8</v>
      </c>
      <c r="J237" s="51">
        <v>0.61</v>
      </c>
      <c r="K237" s="51">
        <v>0.3</v>
      </c>
      <c r="L237" s="50" t="s">
        <v>508</v>
      </c>
      <c r="M237" s="50" t="s">
        <v>508</v>
      </c>
      <c r="N237" s="50" t="s">
        <v>508</v>
      </c>
      <c r="O237" s="50" t="s">
        <v>508</v>
      </c>
      <c r="P237" s="5"/>
      <c r="Q237" s="5"/>
      <c r="R237" s="5"/>
      <c r="S237" s="5"/>
      <c r="T237" s="5"/>
      <c r="U237" s="5"/>
      <c r="V237" s="2"/>
      <c r="W237" s="2"/>
      <c r="X237" s="2"/>
      <c r="Y237" s="2"/>
      <c r="Z237" s="2"/>
      <c r="AA237" s="2"/>
      <c r="AB237" s="2"/>
      <c r="AC237" s="2"/>
      <c r="AD237" s="2"/>
    </row>
    <row r="238" spans="1:30" ht="12.75">
      <c r="A238" s="30" t="s">
        <v>188</v>
      </c>
      <c r="B238" s="30">
        <v>1200</v>
      </c>
      <c r="C238" s="30">
        <v>840</v>
      </c>
      <c r="D238" s="49">
        <v>0.72</v>
      </c>
      <c r="E238" s="30">
        <v>20.9</v>
      </c>
      <c r="F238" s="30">
        <v>50</v>
      </c>
      <c r="G238" s="30">
        <v>45</v>
      </c>
      <c r="H238" s="30">
        <v>20</v>
      </c>
      <c r="I238" s="53">
        <v>6.8</v>
      </c>
      <c r="J238" s="49">
        <v>0.2</v>
      </c>
      <c r="K238" s="49">
        <v>0.13</v>
      </c>
      <c r="L238" s="30" t="s">
        <v>508</v>
      </c>
      <c r="M238" s="30" t="s">
        <v>508</v>
      </c>
      <c r="N238" s="30" t="s">
        <v>508</v>
      </c>
      <c r="O238" s="30" t="s">
        <v>508</v>
      </c>
      <c r="P238" s="5"/>
      <c r="Q238" s="5"/>
      <c r="R238" s="5"/>
      <c r="S238" s="5"/>
      <c r="T238" s="5"/>
      <c r="U238" s="5"/>
      <c r="V238" s="2"/>
      <c r="W238" s="2"/>
      <c r="X238" s="2"/>
      <c r="Y238" s="2"/>
      <c r="Z238" s="2"/>
      <c r="AA238" s="2"/>
      <c r="AB238" s="2"/>
      <c r="AC238" s="2"/>
      <c r="AD238" s="2"/>
    </row>
    <row r="239" spans="1:30" ht="12.75">
      <c r="A239" s="30" t="s">
        <v>188</v>
      </c>
      <c r="B239" s="30">
        <v>1200</v>
      </c>
      <c r="C239" s="30">
        <v>840</v>
      </c>
      <c r="D239" s="49">
        <v>2</v>
      </c>
      <c r="E239" s="30">
        <v>22.1</v>
      </c>
      <c r="F239" s="30">
        <v>60</v>
      </c>
      <c r="G239" s="30">
        <v>61</v>
      </c>
      <c r="H239" s="30">
        <v>35</v>
      </c>
      <c r="I239" s="53">
        <v>8.8</v>
      </c>
      <c r="J239" s="49">
        <v>0.3</v>
      </c>
      <c r="K239" s="49">
        <v>0.16</v>
      </c>
      <c r="L239" s="30" t="s">
        <v>508</v>
      </c>
      <c r="M239" s="30" t="s">
        <v>508</v>
      </c>
      <c r="N239" s="30" t="s">
        <v>508</v>
      </c>
      <c r="O239" s="30" t="s">
        <v>508</v>
      </c>
      <c r="P239" s="5"/>
      <c r="Q239" s="5"/>
      <c r="R239" s="5"/>
      <c r="S239" s="5"/>
      <c r="T239" s="5"/>
      <c r="U239" s="5"/>
      <c r="V239" s="2"/>
      <c r="W239" s="2"/>
      <c r="X239" s="2"/>
      <c r="Y239" s="2"/>
      <c r="Z239" s="2"/>
      <c r="AA239" s="2"/>
      <c r="AB239" s="2"/>
      <c r="AC239" s="2"/>
      <c r="AD239" s="2"/>
    </row>
    <row r="240" spans="1:30" ht="12.75">
      <c r="A240" s="30" t="s">
        <v>188</v>
      </c>
      <c r="B240" s="30">
        <v>1200</v>
      </c>
      <c r="C240" s="30">
        <v>840</v>
      </c>
      <c r="D240" s="49">
        <v>3.04</v>
      </c>
      <c r="E240" s="30">
        <v>21.6</v>
      </c>
      <c r="F240" s="30">
        <v>70</v>
      </c>
      <c r="G240" s="30">
        <v>76</v>
      </c>
      <c r="H240" s="30">
        <v>48</v>
      </c>
      <c r="I240" s="53">
        <v>10.8</v>
      </c>
      <c r="J240" s="49">
        <v>0.39</v>
      </c>
      <c r="K240" s="49">
        <v>0.2</v>
      </c>
      <c r="L240" s="30" t="s">
        <v>508</v>
      </c>
      <c r="M240" s="30" t="s">
        <v>508</v>
      </c>
      <c r="N240" s="30" t="s">
        <v>508</v>
      </c>
      <c r="O240" s="30" t="s">
        <v>508</v>
      </c>
      <c r="P240" s="5"/>
      <c r="Q240" s="5"/>
      <c r="R240" s="5"/>
      <c r="S240" s="5"/>
      <c r="T240" s="5"/>
      <c r="U240" s="5"/>
      <c r="V240" s="2"/>
      <c r="W240" s="2"/>
      <c r="X240" s="2"/>
      <c r="Y240" s="2"/>
      <c r="Z240" s="2"/>
      <c r="AA240" s="2"/>
      <c r="AB240" s="2"/>
      <c r="AC240" s="2"/>
      <c r="AD240" s="2"/>
    </row>
    <row r="241" spans="1:30" ht="12.75">
      <c r="A241" s="30" t="s">
        <v>188</v>
      </c>
      <c r="B241" s="30">
        <v>1200</v>
      </c>
      <c r="C241" s="30">
        <v>840</v>
      </c>
      <c r="D241" s="49">
        <v>3.78</v>
      </c>
      <c r="E241" s="30">
        <v>20.4</v>
      </c>
      <c r="F241" s="30">
        <v>80</v>
      </c>
      <c r="G241" s="30">
        <v>90</v>
      </c>
      <c r="H241" s="30">
        <v>61</v>
      </c>
      <c r="I241" s="53">
        <v>12.8</v>
      </c>
      <c r="J241" s="49">
        <v>0.48</v>
      </c>
      <c r="K241" s="49">
        <v>0.24</v>
      </c>
      <c r="L241" s="30" t="s">
        <v>508</v>
      </c>
      <c r="M241" s="30" t="s">
        <v>508</v>
      </c>
      <c r="N241" s="30" t="s">
        <v>508</v>
      </c>
      <c r="O241" s="30" t="s">
        <v>508</v>
      </c>
      <c r="P241" s="5"/>
      <c r="Q241" s="5"/>
      <c r="R241" s="5"/>
      <c r="S241" s="5"/>
      <c r="T241" s="5"/>
      <c r="U241" s="5"/>
      <c r="V241" s="2"/>
      <c r="W241" s="2"/>
      <c r="X241" s="2"/>
      <c r="Y241" s="2"/>
      <c r="Z241" s="2"/>
      <c r="AA241" s="2"/>
      <c r="AB241" s="2"/>
      <c r="AC241" s="2"/>
      <c r="AD241" s="2"/>
    </row>
    <row r="242" spans="1:30" ht="13.5" thickBot="1">
      <c r="A242" s="50" t="s">
        <v>188</v>
      </c>
      <c r="B242" s="50">
        <v>1200</v>
      </c>
      <c r="C242" s="50">
        <v>840</v>
      </c>
      <c r="D242" s="51">
        <v>4.25</v>
      </c>
      <c r="E242" s="50">
        <v>18.8</v>
      </c>
      <c r="F242" s="50">
        <v>90</v>
      </c>
      <c r="G242" s="50">
        <v>104</v>
      </c>
      <c r="H242" s="50">
        <v>72</v>
      </c>
      <c r="I242" s="54">
        <v>14.7</v>
      </c>
      <c r="J242" s="51">
        <v>0.56</v>
      </c>
      <c r="K242" s="51">
        <v>0.28</v>
      </c>
      <c r="L242" s="50" t="s">
        <v>508</v>
      </c>
      <c r="M242" s="50" t="s">
        <v>508</v>
      </c>
      <c r="N242" s="50" t="s">
        <v>508</v>
      </c>
      <c r="O242" s="50" t="s">
        <v>508</v>
      </c>
      <c r="P242" s="5"/>
      <c r="Q242" s="5"/>
      <c r="R242" s="5"/>
      <c r="S242" s="5"/>
      <c r="T242" s="5"/>
      <c r="U242" s="5"/>
      <c r="V242" s="2"/>
      <c r="W242" s="2"/>
      <c r="X242" s="2"/>
      <c r="Y242" s="2"/>
      <c r="Z242" s="2"/>
      <c r="AA242" s="2"/>
      <c r="AB242" s="2"/>
      <c r="AC242" s="2"/>
      <c r="AD242" s="2"/>
    </row>
    <row r="243" spans="1:30" ht="12.75">
      <c r="A243" s="30" t="s">
        <v>188</v>
      </c>
      <c r="B243" s="30">
        <v>1200</v>
      </c>
      <c r="C243" s="30">
        <v>900</v>
      </c>
      <c r="D243" s="49">
        <v>0.72</v>
      </c>
      <c r="E243" s="30">
        <v>22</v>
      </c>
      <c r="F243" s="30">
        <v>50</v>
      </c>
      <c r="G243" s="30">
        <v>45</v>
      </c>
      <c r="H243" s="30">
        <v>20</v>
      </c>
      <c r="I243" s="53">
        <v>6.6</v>
      </c>
      <c r="J243" s="49">
        <v>0.19</v>
      </c>
      <c r="K243" s="49">
        <v>0.12</v>
      </c>
      <c r="L243" s="30" t="s">
        <v>508</v>
      </c>
      <c r="M243" s="30" t="s">
        <v>508</v>
      </c>
      <c r="N243" s="30" t="s">
        <v>508</v>
      </c>
      <c r="O243" s="30" t="s">
        <v>508</v>
      </c>
      <c r="P243" s="5"/>
      <c r="Q243" s="5"/>
      <c r="R243" s="5"/>
      <c r="S243" s="5"/>
      <c r="T243" s="5"/>
      <c r="U243" s="5"/>
      <c r="V243" s="2"/>
      <c r="W243" s="2"/>
      <c r="X243" s="2"/>
      <c r="Y243" s="2"/>
      <c r="Z243" s="2"/>
      <c r="AA243" s="2"/>
      <c r="AB243" s="2"/>
      <c r="AC243" s="2"/>
      <c r="AD243" s="2"/>
    </row>
    <row r="244" spans="1:30" ht="12.75">
      <c r="A244" s="30" t="s">
        <v>188</v>
      </c>
      <c r="B244" s="30">
        <v>1200</v>
      </c>
      <c r="C244" s="30">
        <v>900</v>
      </c>
      <c r="D244" s="49">
        <v>2</v>
      </c>
      <c r="E244" s="30">
        <v>23.3</v>
      </c>
      <c r="F244" s="30">
        <v>60</v>
      </c>
      <c r="G244" s="30">
        <v>61</v>
      </c>
      <c r="H244" s="30">
        <v>35</v>
      </c>
      <c r="I244" s="53">
        <v>8.4</v>
      </c>
      <c r="J244" s="49">
        <v>0.28</v>
      </c>
      <c r="K244" s="49">
        <v>0.16</v>
      </c>
      <c r="L244" s="30" t="s">
        <v>508</v>
      </c>
      <c r="M244" s="30" t="s">
        <v>508</v>
      </c>
      <c r="N244" s="30" t="s">
        <v>508</v>
      </c>
      <c r="O244" s="30" t="s">
        <v>508</v>
      </c>
      <c r="P244" s="5"/>
      <c r="Q244" s="5"/>
      <c r="R244" s="5"/>
      <c r="S244" s="5"/>
      <c r="T244" s="5"/>
      <c r="U244" s="5"/>
      <c r="V244" s="2"/>
      <c r="W244" s="2"/>
      <c r="X244" s="2"/>
      <c r="Y244" s="2"/>
      <c r="Z244" s="2"/>
      <c r="AA244" s="2"/>
      <c r="AB244" s="2"/>
      <c r="AC244" s="2"/>
      <c r="AD244" s="2"/>
    </row>
    <row r="245" spans="1:30" ht="12.75">
      <c r="A245" s="30" t="s">
        <v>188</v>
      </c>
      <c r="B245" s="30">
        <v>1200</v>
      </c>
      <c r="C245" s="30">
        <v>900</v>
      </c>
      <c r="D245" s="49">
        <v>3.04</v>
      </c>
      <c r="E245" s="30">
        <v>22.7</v>
      </c>
      <c r="F245" s="30">
        <v>70</v>
      </c>
      <c r="G245" s="30">
        <v>76</v>
      </c>
      <c r="H245" s="30">
        <v>48</v>
      </c>
      <c r="I245" s="53">
        <v>10.2</v>
      </c>
      <c r="J245" s="49">
        <v>0.37</v>
      </c>
      <c r="K245" s="49">
        <v>0.19</v>
      </c>
      <c r="L245" s="30" t="s">
        <v>508</v>
      </c>
      <c r="M245" s="30" t="s">
        <v>508</v>
      </c>
      <c r="N245" s="30" t="s">
        <v>508</v>
      </c>
      <c r="O245" s="30" t="s">
        <v>508</v>
      </c>
      <c r="P245" s="5"/>
      <c r="Q245" s="5"/>
      <c r="R245" s="5"/>
      <c r="S245" s="5"/>
      <c r="T245" s="5"/>
      <c r="U245" s="5"/>
      <c r="V245" s="2"/>
      <c r="W245" s="2"/>
      <c r="X245" s="2"/>
      <c r="Y245" s="2"/>
      <c r="Z245" s="2"/>
      <c r="AA245" s="2"/>
      <c r="AB245" s="2"/>
      <c r="AC245" s="2"/>
      <c r="AD245" s="2"/>
    </row>
    <row r="246" spans="1:30" ht="12.75">
      <c r="A246" s="30" t="s">
        <v>188</v>
      </c>
      <c r="B246" s="30">
        <v>1200</v>
      </c>
      <c r="C246" s="30">
        <v>900</v>
      </c>
      <c r="D246" s="49">
        <v>3.78</v>
      </c>
      <c r="E246" s="30">
        <v>21.5</v>
      </c>
      <c r="F246" s="31">
        <v>80</v>
      </c>
      <c r="G246" s="31">
        <v>90</v>
      </c>
      <c r="H246" s="31">
        <v>61</v>
      </c>
      <c r="I246" s="53">
        <v>12</v>
      </c>
      <c r="J246" s="52">
        <v>0.44</v>
      </c>
      <c r="K246" s="52">
        <v>0.23</v>
      </c>
      <c r="L246" s="30" t="s">
        <v>508</v>
      </c>
      <c r="M246" s="30" t="s">
        <v>508</v>
      </c>
      <c r="N246" s="30" t="s">
        <v>508</v>
      </c>
      <c r="O246" s="30" t="s">
        <v>508</v>
      </c>
      <c r="P246" s="5"/>
      <c r="Q246" s="5"/>
      <c r="R246" s="5"/>
      <c r="S246" s="5"/>
      <c r="T246" s="5"/>
      <c r="U246" s="5"/>
      <c r="V246" s="2"/>
      <c r="W246" s="2"/>
      <c r="X246" s="2"/>
      <c r="Y246" s="2"/>
      <c r="Z246" s="2"/>
      <c r="AA246" s="2"/>
      <c r="AB246" s="2"/>
      <c r="AC246" s="2"/>
      <c r="AD246" s="2"/>
    </row>
    <row r="247" spans="1:30" ht="13.5" thickBot="1">
      <c r="A247" s="50" t="s">
        <v>188</v>
      </c>
      <c r="B247" s="50">
        <v>1200</v>
      </c>
      <c r="C247" s="50">
        <v>900</v>
      </c>
      <c r="D247" s="51">
        <v>4.25</v>
      </c>
      <c r="E247" s="50">
        <v>19.8</v>
      </c>
      <c r="F247" s="50">
        <v>90</v>
      </c>
      <c r="G247" s="50">
        <v>104</v>
      </c>
      <c r="H247" s="50">
        <v>72</v>
      </c>
      <c r="I247" s="54">
        <v>13.8</v>
      </c>
      <c r="J247" s="51">
        <v>0.52</v>
      </c>
      <c r="K247" s="51">
        <v>0.26</v>
      </c>
      <c r="L247" s="50" t="s">
        <v>508</v>
      </c>
      <c r="M247" s="50" t="s">
        <v>508</v>
      </c>
      <c r="N247" s="50" t="s">
        <v>508</v>
      </c>
      <c r="O247" s="50" t="s">
        <v>508</v>
      </c>
      <c r="P247" s="5"/>
      <c r="Q247" s="5"/>
      <c r="R247" s="5"/>
      <c r="S247" s="5"/>
      <c r="T247" s="5"/>
      <c r="U247" s="5"/>
      <c r="V247" s="2"/>
      <c r="W247" s="2"/>
      <c r="X247" s="2"/>
      <c r="Y247" s="2"/>
      <c r="Z247" s="2"/>
      <c r="AA247" s="2"/>
      <c r="AB247" s="2"/>
      <c r="AC247" s="2"/>
      <c r="AD247" s="2"/>
    </row>
    <row r="248" spans="1:30" ht="12.75">
      <c r="A248" s="30" t="s">
        <v>188</v>
      </c>
      <c r="B248" s="30">
        <v>1200</v>
      </c>
      <c r="C248" s="30">
        <v>960</v>
      </c>
      <c r="D248" s="49">
        <v>0.72</v>
      </c>
      <c r="E248" s="30">
        <v>23.1</v>
      </c>
      <c r="F248" s="30">
        <v>50</v>
      </c>
      <c r="G248" s="30">
        <v>45</v>
      </c>
      <c r="H248" s="30">
        <v>20</v>
      </c>
      <c r="I248" s="53">
        <v>6.5</v>
      </c>
      <c r="J248" s="49">
        <v>0.19</v>
      </c>
      <c r="K248" s="49">
        <v>0.12</v>
      </c>
      <c r="L248" s="30" t="s">
        <v>508</v>
      </c>
      <c r="M248" s="30" t="s">
        <v>508</v>
      </c>
      <c r="N248" s="30" t="s">
        <v>508</v>
      </c>
      <c r="O248" s="30" t="s">
        <v>508</v>
      </c>
      <c r="P248" s="5"/>
      <c r="Q248" s="5"/>
      <c r="R248" s="5"/>
      <c r="S248" s="5"/>
      <c r="T248" s="5"/>
      <c r="U248" s="5"/>
      <c r="V248" s="2"/>
      <c r="W248" s="2"/>
      <c r="X248" s="2"/>
      <c r="Y248" s="2"/>
      <c r="Z248" s="2"/>
      <c r="AA248" s="2"/>
      <c r="AB248" s="2"/>
      <c r="AC248" s="2"/>
      <c r="AD248" s="2"/>
    </row>
    <row r="249" spans="1:30" ht="12.75">
      <c r="A249" s="30" t="s">
        <v>188</v>
      </c>
      <c r="B249" s="30">
        <v>1200</v>
      </c>
      <c r="C249" s="30">
        <v>960</v>
      </c>
      <c r="D249" s="49">
        <v>2</v>
      </c>
      <c r="E249" s="30">
        <v>24.4</v>
      </c>
      <c r="F249" s="30">
        <v>60</v>
      </c>
      <c r="G249" s="30">
        <v>61</v>
      </c>
      <c r="H249" s="30">
        <v>35</v>
      </c>
      <c r="I249" s="53">
        <v>8.1</v>
      </c>
      <c r="J249" s="49">
        <v>0.27</v>
      </c>
      <c r="K249" s="49">
        <v>0.15</v>
      </c>
      <c r="L249" s="30" t="s">
        <v>508</v>
      </c>
      <c r="M249" s="30" t="s">
        <v>508</v>
      </c>
      <c r="N249" s="30" t="s">
        <v>508</v>
      </c>
      <c r="O249" s="30" t="s">
        <v>508</v>
      </c>
      <c r="P249" s="5"/>
      <c r="Q249" s="5"/>
      <c r="R249" s="5"/>
      <c r="S249" s="5"/>
      <c r="T249" s="5"/>
      <c r="U249" s="5"/>
      <c r="V249" s="2"/>
      <c r="W249" s="2"/>
      <c r="X249" s="2"/>
      <c r="Y249" s="2"/>
      <c r="Z249" s="2"/>
      <c r="AA249" s="2"/>
      <c r="AB249" s="2"/>
      <c r="AC249" s="2"/>
      <c r="AD249" s="2"/>
    </row>
    <row r="250" spans="1:30" ht="12.75">
      <c r="A250" s="30" t="s">
        <v>188</v>
      </c>
      <c r="B250" s="30">
        <v>1200</v>
      </c>
      <c r="C250" s="30">
        <v>960</v>
      </c>
      <c r="D250" s="49">
        <v>3.04</v>
      </c>
      <c r="E250" s="30">
        <v>23.9</v>
      </c>
      <c r="F250" s="30">
        <v>70</v>
      </c>
      <c r="G250" s="30">
        <v>76</v>
      </c>
      <c r="H250" s="30">
        <v>48</v>
      </c>
      <c r="I250" s="53">
        <v>9.7</v>
      </c>
      <c r="J250" s="49">
        <v>0.34</v>
      </c>
      <c r="K250" s="49">
        <v>0.19</v>
      </c>
      <c r="L250" s="30" t="s">
        <v>508</v>
      </c>
      <c r="M250" s="30" t="s">
        <v>508</v>
      </c>
      <c r="N250" s="30" t="s">
        <v>508</v>
      </c>
      <c r="O250" s="30" t="s">
        <v>508</v>
      </c>
      <c r="P250" s="5"/>
      <c r="Q250" s="5"/>
      <c r="R250" s="5"/>
      <c r="S250" s="5"/>
      <c r="T250" s="5"/>
      <c r="U250" s="5"/>
      <c r="V250" s="2"/>
      <c r="W250" s="2"/>
      <c r="X250" s="2"/>
      <c r="Y250" s="2"/>
      <c r="Z250" s="2"/>
      <c r="AA250" s="2"/>
      <c r="AB250" s="2"/>
      <c r="AC250" s="2"/>
      <c r="AD250" s="2"/>
    </row>
    <row r="251" spans="1:30" ht="12.75">
      <c r="A251" s="30" t="s">
        <v>188</v>
      </c>
      <c r="B251" s="30">
        <v>1200</v>
      </c>
      <c r="C251" s="30">
        <v>960</v>
      </c>
      <c r="D251" s="52">
        <v>3.78</v>
      </c>
      <c r="E251" s="31">
        <v>22.5</v>
      </c>
      <c r="F251" s="31">
        <v>80</v>
      </c>
      <c r="G251" s="31">
        <v>90</v>
      </c>
      <c r="H251" s="31">
        <v>61</v>
      </c>
      <c r="I251" s="55">
        <v>11.3</v>
      </c>
      <c r="J251" s="52">
        <v>0.42</v>
      </c>
      <c r="K251" s="52">
        <v>0.22</v>
      </c>
      <c r="L251" s="30" t="s">
        <v>508</v>
      </c>
      <c r="M251" s="30" t="s">
        <v>508</v>
      </c>
      <c r="N251" s="30" t="s">
        <v>508</v>
      </c>
      <c r="O251" s="30" t="s">
        <v>508</v>
      </c>
      <c r="P251" s="5"/>
      <c r="Q251" s="5"/>
      <c r="R251" s="5"/>
      <c r="S251" s="5"/>
      <c r="T251" s="5"/>
      <c r="U251" s="5"/>
      <c r="V251" s="2"/>
      <c r="W251" s="2"/>
      <c r="X251" s="2"/>
      <c r="Y251" s="2"/>
      <c r="Z251" s="2"/>
      <c r="AA251" s="2"/>
      <c r="AB251" s="2"/>
      <c r="AC251" s="2"/>
      <c r="AD251" s="2"/>
    </row>
    <row r="252" spans="1:30" ht="13.5" thickBot="1">
      <c r="A252" s="50" t="s">
        <v>188</v>
      </c>
      <c r="B252" s="50">
        <v>1200</v>
      </c>
      <c r="C252" s="50">
        <v>960</v>
      </c>
      <c r="D252" s="51">
        <v>4.25</v>
      </c>
      <c r="E252" s="50">
        <v>20.8</v>
      </c>
      <c r="F252" s="50">
        <v>90</v>
      </c>
      <c r="G252" s="50">
        <v>104</v>
      </c>
      <c r="H252" s="50">
        <v>72</v>
      </c>
      <c r="I252" s="54">
        <v>13</v>
      </c>
      <c r="J252" s="51">
        <v>0.48</v>
      </c>
      <c r="K252" s="51">
        <v>0.25</v>
      </c>
      <c r="L252" s="50" t="s">
        <v>508</v>
      </c>
      <c r="M252" s="50" t="s">
        <v>508</v>
      </c>
      <c r="N252" s="50" t="s">
        <v>508</v>
      </c>
      <c r="O252" s="50" t="s">
        <v>508</v>
      </c>
      <c r="P252" s="5"/>
      <c r="Q252" s="5"/>
      <c r="R252" s="5"/>
      <c r="S252" s="5"/>
      <c r="T252" s="5"/>
      <c r="U252" s="5"/>
      <c r="V252" s="2"/>
      <c r="W252" s="2"/>
      <c r="X252" s="2"/>
      <c r="Y252" s="2"/>
      <c r="Z252" s="2"/>
      <c r="AA252" s="2"/>
      <c r="AB252" s="2"/>
      <c r="AC252" s="2"/>
      <c r="AD252" s="2"/>
    </row>
    <row r="253" spans="1:30" ht="12.75">
      <c r="A253" s="30" t="s">
        <v>188</v>
      </c>
      <c r="B253" s="30">
        <v>1300</v>
      </c>
      <c r="C253" s="30">
        <v>715</v>
      </c>
      <c r="D253" s="49">
        <v>0.76</v>
      </c>
      <c r="E253" s="30">
        <v>18.5</v>
      </c>
      <c r="F253" s="30">
        <v>50</v>
      </c>
      <c r="G253" s="30">
        <v>45</v>
      </c>
      <c r="H253" s="30">
        <v>20</v>
      </c>
      <c r="I253" s="53">
        <v>7.3</v>
      </c>
      <c r="J253" s="49">
        <v>0.22</v>
      </c>
      <c r="K253" s="49">
        <v>0.13</v>
      </c>
      <c r="L253" s="30" t="s">
        <v>508</v>
      </c>
      <c r="M253" s="30" t="s">
        <v>508</v>
      </c>
      <c r="N253" s="30" t="s">
        <v>508</v>
      </c>
      <c r="O253" s="30" t="s">
        <v>508</v>
      </c>
      <c r="P253" s="5"/>
      <c r="Q253" s="5"/>
      <c r="R253" s="5"/>
      <c r="S253" s="5"/>
      <c r="T253" s="5"/>
      <c r="U253" s="5"/>
      <c r="V253" s="2"/>
      <c r="W253" s="2"/>
      <c r="X253" s="2"/>
      <c r="Y253" s="2"/>
      <c r="Z253" s="2"/>
      <c r="AA253" s="2"/>
      <c r="AB253" s="2"/>
      <c r="AC253" s="2"/>
      <c r="AD253" s="2"/>
    </row>
    <row r="254" spans="1:30" ht="12.75">
      <c r="A254" s="30" t="s">
        <v>188</v>
      </c>
      <c r="B254" s="30">
        <v>1300</v>
      </c>
      <c r="C254" s="30">
        <v>715</v>
      </c>
      <c r="D254" s="49">
        <v>2.11</v>
      </c>
      <c r="E254" s="30">
        <v>19.6</v>
      </c>
      <c r="F254" s="30">
        <v>60</v>
      </c>
      <c r="G254" s="30">
        <v>61</v>
      </c>
      <c r="H254" s="30">
        <v>35</v>
      </c>
      <c r="I254" s="53">
        <v>10.2</v>
      </c>
      <c r="J254" s="49">
        <v>0.36</v>
      </c>
      <c r="K254" s="49">
        <v>0.19</v>
      </c>
      <c r="L254" s="30" t="s">
        <v>508</v>
      </c>
      <c r="M254" s="30" t="s">
        <v>508</v>
      </c>
      <c r="N254" s="30" t="s">
        <v>508</v>
      </c>
      <c r="O254" s="30" t="s">
        <v>508</v>
      </c>
      <c r="P254" s="5"/>
      <c r="Q254" s="5"/>
      <c r="R254" s="5"/>
      <c r="S254" s="5"/>
      <c r="T254" s="5"/>
      <c r="U254" s="5"/>
      <c r="V254" s="2"/>
      <c r="W254" s="2"/>
      <c r="X254" s="2"/>
      <c r="Y254" s="2"/>
      <c r="Z254" s="2"/>
      <c r="AA254" s="2"/>
      <c r="AB254" s="2"/>
      <c r="AC254" s="2"/>
      <c r="AD254" s="2"/>
    </row>
    <row r="255" spans="1:30" ht="12.75">
      <c r="A255" s="30" t="s">
        <v>188</v>
      </c>
      <c r="B255" s="30">
        <v>1300</v>
      </c>
      <c r="C255" s="30">
        <v>715</v>
      </c>
      <c r="D255" s="49">
        <v>3.21</v>
      </c>
      <c r="E255" s="30">
        <v>19.1</v>
      </c>
      <c r="F255" s="30">
        <v>70</v>
      </c>
      <c r="G255" s="30">
        <v>76</v>
      </c>
      <c r="H255" s="30">
        <v>48</v>
      </c>
      <c r="I255" s="53">
        <v>13</v>
      </c>
      <c r="J255" s="49">
        <v>0.49</v>
      </c>
      <c r="K255" s="49">
        <v>0.24</v>
      </c>
      <c r="L255" s="30" t="s">
        <v>508</v>
      </c>
      <c r="M255" s="30" t="s">
        <v>508</v>
      </c>
      <c r="N255" s="30" t="s">
        <v>508</v>
      </c>
      <c r="O255" s="30" t="s">
        <v>508</v>
      </c>
      <c r="P255" s="5"/>
      <c r="Q255" s="5"/>
      <c r="R255" s="5"/>
      <c r="S255" s="5"/>
      <c r="T255" s="5"/>
      <c r="U255" s="5"/>
      <c r="V255" s="2"/>
      <c r="W255" s="2"/>
      <c r="X255" s="2"/>
      <c r="Y255" s="2"/>
      <c r="Z255" s="2"/>
      <c r="AA255" s="2"/>
      <c r="AB255" s="2"/>
      <c r="AC255" s="2"/>
      <c r="AD255" s="2"/>
    </row>
    <row r="256" spans="1:30" ht="12.75">
      <c r="A256" s="30" t="s">
        <v>188</v>
      </c>
      <c r="B256" s="30">
        <v>1300</v>
      </c>
      <c r="C256" s="30">
        <v>715</v>
      </c>
      <c r="D256" s="49">
        <v>3.99</v>
      </c>
      <c r="E256" s="30">
        <v>18.1</v>
      </c>
      <c r="F256" s="30">
        <v>80</v>
      </c>
      <c r="G256" s="30">
        <v>90</v>
      </c>
      <c r="H256" s="30">
        <v>61</v>
      </c>
      <c r="I256" s="53">
        <v>15.7</v>
      </c>
      <c r="J256" s="49">
        <v>0.61</v>
      </c>
      <c r="K256" s="49">
        <v>0.29</v>
      </c>
      <c r="L256" s="30" t="s">
        <v>508</v>
      </c>
      <c r="M256" s="30" t="s">
        <v>508</v>
      </c>
      <c r="N256" s="30" t="s">
        <v>508</v>
      </c>
      <c r="O256" s="30" t="s">
        <v>508</v>
      </c>
      <c r="P256" s="5"/>
      <c r="Q256" s="5"/>
      <c r="R256" s="5"/>
      <c r="S256" s="5"/>
      <c r="T256" s="5"/>
      <c r="U256" s="5"/>
      <c r="V256" s="2"/>
      <c r="W256" s="2"/>
      <c r="X256" s="2"/>
      <c r="Y256" s="2"/>
      <c r="Z256" s="2"/>
      <c r="AA256" s="2"/>
      <c r="AB256" s="2"/>
      <c r="AC256" s="2"/>
      <c r="AD256" s="2"/>
    </row>
    <row r="257" spans="1:30" ht="13.5" thickBot="1">
      <c r="A257" s="50" t="s">
        <v>188</v>
      </c>
      <c r="B257" s="50">
        <v>1300</v>
      </c>
      <c r="C257" s="50">
        <v>715</v>
      </c>
      <c r="D257" s="51">
        <v>4.48</v>
      </c>
      <c r="E257" s="50">
        <v>16.7</v>
      </c>
      <c r="F257" s="50">
        <v>90</v>
      </c>
      <c r="G257" s="50">
        <v>104</v>
      </c>
      <c r="H257" s="50">
        <v>72</v>
      </c>
      <c r="I257" s="54">
        <v>18.3</v>
      </c>
      <c r="J257" s="51">
        <v>0.72</v>
      </c>
      <c r="K257" s="51">
        <v>0.34</v>
      </c>
      <c r="L257" s="50" t="s">
        <v>508</v>
      </c>
      <c r="M257" s="50" t="s">
        <v>508</v>
      </c>
      <c r="N257" s="50" t="s">
        <v>508</v>
      </c>
      <c r="O257" s="50" t="s">
        <v>508</v>
      </c>
      <c r="P257" s="5"/>
      <c r="Q257" s="5"/>
      <c r="R257" s="5"/>
      <c r="S257" s="5"/>
      <c r="T257" s="5"/>
      <c r="U257" s="5"/>
      <c r="V257" s="2"/>
      <c r="W257" s="2"/>
      <c r="X257" s="2"/>
      <c r="Y257" s="2"/>
      <c r="Z257" s="2"/>
      <c r="AA257" s="2"/>
      <c r="AB257" s="2"/>
      <c r="AC257" s="2"/>
      <c r="AD257" s="2"/>
    </row>
    <row r="258" spans="1:30" ht="12.75">
      <c r="A258" s="30" t="s">
        <v>188</v>
      </c>
      <c r="B258" s="30">
        <v>1300</v>
      </c>
      <c r="C258" s="30">
        <v>780</v>
      </c>
      <c r="D258" s="49">
        <v>0.76</v>
      </c>
      <c r="E258" s="30">
        <v>19.8</v>
      </c>
      <c r="F258" s="30">
        <v>50</v>
      </c>
      <c r="G258" s="30">
        <v>45</v>
      </c>
      <c r="H258" s="30">
        <v>20</v>
      </c>
      <c r="I258" s="53">
        <v>7.1</v>
      </c>
      <c r="J258" s="49">
        <v>0.21</v>
      </c>
      <c r="K258" s="49">
        <v>0.13</v>
      </c>
      <c r="L258" s="30" t="s">
        <v>508</v>
      </c>
      <c r="M258" s="30" t="s">
        <v>508</v>
      </c>
      <c r="N258" s="30" t="s">
        <v>508</v>
      </c>
      <c r="O258" s="30" t="s">
        <v>508</v>
      </c>
      <c r="P258" s="5"/>
      <c r="Q258" s="5"/>
      <c r="R258" s="5"/>
      <c r="S258" s="5"/>
      <c r="T258" s="5"/>
      <c r="U258" s="5"/>
      <c r="V258" s="2"/>
      <c r="W258" s="2"/>
      <c r="X258" s="2"/>
      <c r="Y258" s="2"/>
      <c r="Z258" s="2"/>
      <c r="AA258" s="2"/>
      <c r="AB258" s="2"/>
      <c r="AC258" s="2"/>
      <c r="AD258" s="2"/>
    </row>
    <row r="259" spans="1:30" ht="12.75">
      <c r="A259" s="30" t="s">
        <v>188</v>
      </c>
      <c r="B259" s="30">
        <v>1300</v>
      </c>
      <c r="C259" s="30">
        <v>780</v>
      </c>
      <c r="D259" s="49">
        <v>2.11</v>
      </c>
      <c r="E259" s="30">
        <v>20.9</v>
      </c>
      <c r="F259" s="30">
        <v>60</v>
      </c>
      <c r="G259" s="30">
        <v>61</v>
      </c>
      <c r="H259" s="30">
        <v>35</v>
      </c>
      <c r="I259" s="53">
        <v>9.6</v>
      </c>
      <c r="J259" s="49">
        <v>0.34</v>
      </c>
      <c r="K259" s="49">
        <v>0.18</v>
      </c>
      <c r="L259" s="30" t="s">
        <v>508</v>
      </c>
      <c r="M259" s="30" t="s">
        <v>508</v>
      </c>
      <c r="N259" s="30" t="s">
        <v>508</v>
      </c>
      <c r="O259" s="30" t="s">
        <v>508</v>
      </c>
      <c r="P259" s="5"/>
      <c r="Q259" s="5"/>
      <c r="R259" s="5"/>
      <c r="S259" s="5"/>
      <c r="T259" s="5"/>
      <c r="U259" s="5"/>
      <c r="V259" s="2"/>
      <c r="W259" s="2"/>
      <c r="X259" s="2"/>
      <c r="Y259" s="2"/>
      <c r="Z259" s="2"/>
      <c r="AA259" s="2"/>
      <c r="AB259" s="2"/>
      <c r="AC259" s="2"/>
      <c r="AD259" s="2"/>
    </row>
    <row r="260" spans="1:30" ht="12.75">
      <c r="A260" s="30" t="s">
        <v>188</v>
      </c>
      <c r="B260" s="30">
        <v>1300</v>
      </c>
      <c r="C260" s="30">
        <v>780</v>
      </c>
      <c r="D260" s="49">
        <v>3.21</v>
      </c>
      <c r="E260" s="30">
        <v>20.4</v>
      </c>
      <c r="F260" s="30">
        <v>70</v>
      </c>
      <c r="G260" s="30">
        <v>76</v>
      </c>
      <c r="H260" s="30">
        <v>48</v>
      </c>
      <c r="I260" s="53">
        <v>12.1</v>
      </c>
      <c r="J260" s="49">
        <v>0.45</v>
      </c>
      <c r="K260" s="49">
        <v>0.23</v>
      </c>
      <c r="L260" s="30" t="s">
        <v>508</v>
      </c>
      <c r="M260" s="30" t="s">
        <v>508</v>
      </c>
      <c r="N260" s="30" t="s">
        <v>508</v>
      </c>
      <c r="O260" s="30" t="s">
        <v>508</v>
      </c>
      <c r="P260" s="5"/>
      <c r="Q260" s="5"/>
      <c r="R260" s="5"/>
      <c r="S260" s="5"/>
      <c r="T260" s="5"/>
      <c r="U260" s="5"/>
      <c r="V260" s="2"/>
      <c r="W260" s="2"/>
      <c r="X260" s="2"/>
      <c r="Y260" s="2"/>
      <c r="Z260" s="2"/>
      <c r="AA260" s="2"/>
      <c r="AB260" s="2"/>
      <c r="AC260" s="2"/>
      <c r="AD260" s="2"/>
    </row>
    <row r="261" spans="1:30" ht="12.75">
      <c r="A261" s="30" t="s">
        <v>188</v>
      </c>
      <c r="B261" s="30">
        <v>1300</v>
      </c>
      <c r="C261" s="30">
        <v>780</v>
      </c>
      <c r="D261" s="49">
        <v>3.99</v>
      </c>
      <c r="E261" s="30">
        <v>19.3</v>
      </c>
      <c r="F261" s="30">
        <v>80</v>
      </c>
      <c r="G261" s="30">
        <v>90</v>
      </c>
      <c r="H261" s="30">
        <v>61</v>
      </c>
      <c r="I261" s="53">
        <v>14.5</v>
      </c>
      <c r="J261" s="49">
        <v>0.56</v>
      </c>
      <c r="K261" s="49">
        <v>0.27</v>
      </c>
      <c r="L261" s="30" t="s">
        <v>508</v>
      </c>
      <c r="M261" s="30" t="s">
        <v>508</v>
      </c>
      <c r="N261" s="30" t="s">
        <v>508</v>
      </c>
      <c r="O261" s="30" t="s">
        <v>508</v>
      </c>
      <c r="P261" s="5"/>
      <c r="Q261" s="5"/>
      <c r="R261" s="5"/>
      <c r="S261" s="5"/>
      <c r="T261" s="5"/>
      <c r="U261" s="5"/>
      <c r="V261" s="2"/>
      <c r="W261" s="2"/>
      <c r="X261" s="2"/>
      <c r="Y261" s="2"/>
      <c r="Z261" s="2"/>
      <c r="AA261" s="2"/>
      <c r="AB261" s="2"/>
      <c r="AC261" s="2"/>
      <c r="AD261" s="2"/>
    </row>
    <row r="262" spans="1:30" ht="13.5" thickBot="1">
      <c r="A262" s="50" t="s">
        <v>188</v>
      </c>
      <c r="B262" s="50">
        <v>1300</v>
      </c>
      <c r="C262" s="50">
        <v>780</v>
      </c>
      <c r="D262" s="51">
        <v>4.48</v>
      </c>
      <c r="E262" s="50">
        <v>17.8</v>
      </c>
      <c r="F262" s="50">
        <v>90</v>
      </c>
      <c r="G262" s="50">
        <v>104</v>
      </c>
      <c r="H262" s="50">
        <v>72</v>
      </c>
      <c r="I262" s="54">
        <v>16.9</v>
      </c>
      <c r="J262" s="51">
        <v>0.66</v>
      </c>
      <c r="K262" s="51">
        <v>0.32</v>
      </c>
      <c r="L262" s="50" t="s">
        <v>508</v>
      </c>
      <c r="M262" s="50" t="s">
        <v>508</v>
      </c>
      <c r="N262" s="50" t="s">
        <v>508</v>
      </c>
      <c r="O262" s="50" t="s">
        <v>508</v>
      </c>
      <c r="P262" s="5"/>
      <c r="Q262" s="5"/>
      <c r="R262" s="5"/>
      <c r="S262" s="5"/>
      <c r="T262" s="5"/>
      <c r="U262" s="5"/>
      <c r="V262" s="2"/>
      <c r="W262" s="2"/>
      <c r="X262" s="2"/>
      <c r="Y262" s="2"/>
      <c r="Z262" s="2"/>
      <c r="AA262" s="2"/>
      <c r="AB262" s="2"/>
      <c r="AC262" s="2"/>
      <c r="AD262" s="2"/>
    </row>
    <row r="263" spans="1:30" ht="12.75">
      <c r="A263" s="30" t="s">
        <v>188</v>
      </c>
      <c r="B263" s="30">
        <v>1300</v>
      </c>
      <c r="C263" s="30">
        <v>845</v>
      </c>
      <c r="D263" s="49">
        <v>0.76</v>
      </c>
      <c r="E263" s="30">
        <v>21</v>
      </c>
      <c r="F263" s="30">
        <v>50</v>
      </c>
      <c r="G263" s="30">
        <v>45</v>
      </c>
      <c r="H263" s="30">
        <v>20</v>
      </c>
      <c r="I263" s="53">
        <v>6.9</v>
      </c>
      <c r="J263" s="49">
        <v>0.2</v>
      </c>
      <c r="K263" s="49">
        <v>0.13</v>
      </c>
      <c r="L263" s="30" t="s">
        <v>508</v>
      </c>
      <c r="M263" s="30" t="s">
        <v>508</v>
      </c>
      <c r="N263" s="30" t="s">
        <v>508</v>
      </c>
      <c r="O263" s="30" t="s">
        <v>508</v>
      </c>
      <c r="P263" s="5"/>
      <c r="Q263" s="5"/>
      <c r="R263" s="5"/>
      <c r="S263" s="5"/>
      <c r="T263" s="5"/>
      <c r="U263" s="5"/>
      <c r="V263" s="2"/>
      <c r="W263" s="2"/>
      <c r="X263" s="2"/>
      <c r="Y263" s="2"/>
      <c r="Z263" s="2"/>
      <c r="AA263" s="2"/>
      <c r="AB263" s="2"/>
      <c r="AC263" s="2"/>
      <c r="AD263" s="2"/>
    </row>
    <row r="264" spans="1:30" ht="12.75">
      <c r="A264" s="30" t="s">
        <v>188</v>
      </c>
      <c r="B264" s="30">
        <v>1300</v>
      </c>
      <c r="C264" s="30">
        <v>845</v>
      </c>
      <c r="D264" s="49">
        <v>2.11</v>
      </c>
      <c r="E264" s="30">
        <v>22.2</v>
      </c>
      <c r="F264" s="30">
        <v>60</v>
      </c>
      <c r="G264" s="30">
        <v>61</v>
      </c>
      <c r="H264" s="30">
        <v>35</v>
      </c>
      <c r="I264" s="53">
        <v>9.1</v>
      </c>
      <c r="J264" s="49">
        <v>0.32</v>
      </c>
      <c r="K264" s="49">
        <v>0.17</v>
      </c>
      <c r="L264" s="30" t="s">
        <v>508</v>
      </c>
      <c r="M264" s="30" t="s">
        <v>508</v>
      </c>
      <c r="N264" s="30" t="s">
        <v>508</v>
      </c>
      <c r="O264" s="30" t="s">
        <v>508</v>
      </c>
      <c r="P264" s="5"/>
      <c r="Q264" s="5"/>
      <c r="R264" s="5"/>
      <c r="S264" s="5"/>
      <c r="T264" s="5"/>
      <c r="U264" s="5"/>
      <c r="V264" s="2"/>
      <c r="W264" s="2"/>
      <c r="X264" s="2"/>
      <c r="Y264" s="2"/>
      <c r="Z264" s="2"/>
      <c r="AA264" s="2"/>
      <c r="AB264" s="2"/>
      <c r="AC264" s="2"/>
      <c r="AD264" s="2"/>
    </row>
    <row r="265" spans="1:30" ht="12.75">
      <c r="A265" s="30" t="s">
        <v>188</v>
      </c>
      <c r="B265" s="30">
        <v>1300</v>
      </c>
      <c r="C265" s="30">
        <v>845</v>
      </c>
      <c r="D265" s="49">
        <v>3.21</v>
      </c>
      <c r="E265" s="30">
        <v>21.7</v>
      </c>
      <c r="F265" s="30">
        <v>70</v>
      </c>
      <c r="G265" s="30">
        <v>76</v>
      </c>
      <c r="H265" s="30">
        <v>48</v>
      </c>
      <c r="I265" s="53">
        <v>11.4</v>
      </c>
      <c r="J265" s="49">
        <v>0.42</v>
      </c>
      <c r="K265" s="49">
        <v>0.22</v>
      </c>
      <c r="L265" s="30" t="s">
        <v>508</v>
      </c>
      <c r="M265" s="30" t="s">
        <v>508</v>
      </c>
      <c r="N265" s="30" t="s">
        <v>508</v>
      </c>
      <c r="O265" s="30" t="s">
        <v>508</v>
      </c>
      <c r="P265" s="5"/>
      <c r="Q265" s="5"/>
      <c r="R265" s="5"/>
      <c r="S265" s="5"/>
      <c r="T265" s="5"/>
      <c r="U265" s="5"/>
      <c r="V265" s="2"/>
      <c r="W265" s="2"/>
      <c r="X265" s="2"/>
      <c r="Y265" s="2"/>
      <c r="Z265" s="2"/>
      <c r="AA265" s="2"/>
      <c r="AB265" s="2"/>
      <c r="AC265" s="2"/>
      <c r="AD265" s="2"/>
    </row>
    <row r="266" spans="1:30" ht="12.75">
      <c r="A266" s="30" t="s">
        <v>188</v>
      </c>
      <c r="B266" s="30">
        <v>1300</v>
      </c>
      <c r="C266" s="30">
        <v>845</v>
      </c>
      <c r="D266" s="49">
        <v>3.99</v>
      </c>
      <c r="E266" s="30">
        <v>20.5</v>
      </c>
      <c r="F266" s="30">
        <v>80</v>
      </c>
      <c r="G266" s="30">
        <v>90</v>
      </c>
      <c r="H266" s="30">
        <v>61</v>
      </c>
      <c r="I266" s="53">
        <v>13.6</v>
      </c>
      <c r="J266" s="49">
        <v>0.51</v>
      </c>
      <c r="K266" s="49">
        <v>0.26</v>
      </c>
      <c r="L266" s="30" t="s">
        <v>508</v>
      </c>
      <c r="M266" s="30" t="s">
        <v>508</v>
      </c>
      <c r="N266" s="30" t="s">
        <v>508</v>
      </c>
      <c r="O266" s="30" t="s">
        <v>508</v>
      </c>
      <c r="P266" s="5"/>
      <c r="Q266" s="5"/>
      <c r="R266" s="5"/>
      <c r="S266" s="5"/>
      <c r="T266" s="5"/>
      <c r="U266" s="5"/>
      <c r="V266" s="2"/>
      <c r="W266" s="2"/>
      <c r="X266" s="2"/>
      <c r="Y266" s="2"/>
      <c r="Z266" s="2"/>
      <c r="AA266" s="2"/>
      <c r="AB266" s="2"/>
      <c r="AC266" s="2"/>
      <c r="AD266" s="2"/>
    </row>
    <row r="267" spans="1:30" ht="13.5" thickBot="1">
      <c r="A267" s="50" t="s">
        <v>188</v>
      </c>
      <c r="B267" s="50">
        <v>1300</v>
      </c>
      <c r="C267" s="50">
        <v>845</v>
      </c>
      <c r="D267" s="51">
        <v>4.48</v>
      </c>
      <c r="E267" s="50">
        <v>18.9</v>
      </c>
      <c r="F267" s="50">
        <v>90</v>
      </c>
      <c r="G267" s="50">
        <v>104</v>
      </c>
      <c r="H267" s="50">
        <v>72</v>
      </c>
      <c r="I267" s="54">
        <v>15.7</v>
      </c>
      <c r="J267" s="51">
        <v>0.61</v>
      </c>
      <c r="K267" s="51">
        <v>0.3</v>
      </c>
      <c r="L267" s="50" t="s">
        <v>508</v>
      </c>
      <c r="M267" s="50" t="s">
        <v>508</v>
      </c>
      <c r="N267" s="50" t="s">
        <v>508</v>
      </c>
      <c r="O267" s="50" t="s">
        <v>508</v>
      </c>
      <c r="P267" s="5"/>
      <c r="Q267" s="5"/>
      <c r="R267" s="5"/>
      <c r="S267" s="5"/>
      <c r="T267" s="5"/>
      <c r="U267" s="5"/>
      <c r="V267" s="2"/>
      <c r="W267" s="2"/>
      <c r="X267" s="2"/>
      <c r="Y267" s="2"/>
      <c r="Z267" s="2"/>
      <c r="AA267" s="2"/>
      <c r="AB267" s="2"/>
      <c r="AC267" s="2"/>
      <c r="AD267" s="2"/>
    </row>
    <row r="268" spans="1:30" ht="12.75">
      <c r="A268" s="30" t="s">
        <v>188</v>
      </c>
      <c r="B268" s="30">
        <v>1300</v>
      </c>
      <c r="C268" s="30">
        <v>910</v>
      </c>
      <c r="D268" s="49">
        <v>0.76</v>
      </c>
      <c r="E268" s="30">
        <v>22.2</v>
      </c>
      <c r="F268" s="30">
        <v>50</v>
      </c>
      <c r="G268" s="30">
        <v>45</v>
      </c>
      <c r="H268" s="30">
        <v>20</v>
      </c>
      <c r="I268" s="53">
        <v>6.7</v>
      </c>
      <c r="J268" s="49">
        <v>0.2</v>
      </c>
      <c r="K268" s="49">
        <v>0.13</v>
      </c>
      <c r="L268" s="30" t="s">
        <v>508</v>
      </c>
      <c r="M268" s="30" t="s">
        <v>508</v>
      </c>
      <c r="N268" s="30" t="s">
        <v>508</v>
      </c>
      <c r="O268" s="30" t="s">
        <v>508</v>
      </c>
      <c r="P268" s="5"/>
      <c r="Q268" s="5"/>
      <c r="R268" s="5"/>
      <c r="S268" s="5"/>
      <c r="T268" s="5"/>
      <c r="U268" s="5"/>
      <c r="V268" s="2"/>
      <c r="W268" s="2"/>
      <c r="X268" s="2"/>
      <c r="Y268" s="2"/>
      <c r="Z268" s="2"/>
      <c r="AA268" s="2"/>
      <c r="AB268" s="2"/>
      <c r="AC268" s="2"/>
      <c r="AD268" s="2"/>
    </row>
    <row r="269" spans="1:30" ht="12.75">
      <c r="A269" s="30" t="s">
        <v>188</v>
      </c>
      <c r="B269" s="30">
        <v>1300</v>
      </c>
      <c r="C269" s="30">
        <v>910</v>
      </c>
      <c r="D269" s="49">
        <v>2.11</v>
      </c>
      <c r="E269" s="30">
        <v>23.5</v>
      </c>
      <c r="F269" s="30">
        <v>60</v>
      </c>
      <c r="G269" s="30">
        <v>61</v>
      </c>
      <c r="H269" s="30">
        <v>35</v>
      </c>
      <c r="I269" s="53">
        <v>8.7</v>
      </c>
      <c r="J269" s="49">
        <v>0.3</v>
      </c>
      <c r="K269" s="49">
        <v>0.17</v>
      </c>
      <c r="L269" s="30" t="s">
        <v>508</v>
      </c>
      <c r="M269" s="30" t="s">
        <v>508</v>
      </c>
      <c r="N269" s="30" t="s">
        <v>508</v>
      </c>
      <c r="O269" s="30" t="s">
        <v>508</v>
      </c>
      <c r="P269" s="5"/>
      <c r="Q269" s="5"/>
      <c r="R269" s="5"/>
      <c r="S269" s="5"/>
      <c r="T269" s="5"/>
      <c r="U269" s="5"/>
      <c r="V269" s="2"/>
      <c r="W269" s="2"/>
      <c r="X269" s="2"/>
      <c r="Y269" s="2"/>
      <c r="Z269" s="2"/>
      <c r="AA269" s="2"/>
      <c r="AB269" s="2"/>
      <c r="AC269" s="2"/>
      <c r="AD269" s="2"/>
    </row>
    <row r="270" spans="1:30" ht="12.75">
      <c r="A270" s="30" t="s">
        <v>188</v>
      </c>
      <c r="B270" s="30">
        <v>1300</v>
      </c>
      <c r="C270" s="30">
        <v>910</v>
      </c>
      <c r="D270" s="49">
        <v>3.21</v>
      </c>
      <c r="E270" s="30">
        <v>22.9</v>
      </c>
      <c r="F270" s="30">
        <v>70</v>
      </c>
      <c r="G270" s="30">
        <v>76</v>
      </c>
      <c r="H270" s="30">
        <v>48</v>
      </c>
      <c r="I270" s="53">
        <v>10.7</v>
      </c>
      <c r="J270" s="49">
        <v>0.39</v>
      </c>
      <c r="K270" s="49">
        <v>0.2</v>
      </c>
      <c r="L270" s="30" t="s">
        <v>508</v>
      </c>
      <c r="M270" s="30" t="s">
        <v>508</v>
      </c>
      <c r="N270" s="30" t="s">
        <v>508</v>
      </c>
      <c r="O270" s="30" t="s">
        <v>508</v>
      </c>
      <c r="P270" s="5"/>
      <c r="Q270" s="5"/>
      <c r="R270" s="5"/>
      <c r="S270" s="5"/>
      <c r="T270" s="5"/>
      <c r="U270" s="5"/>
      <c r="V270" s="2"/>
      <c r="W270" s="2"/>
      <c r="X270" s="2"/>
      <c r="Y270" s="2"/>
      <c r="Z270" s="2"/>
      <c r="AA270" s="2"/>
      <c r="AB270" s="2"/>
      <c r="AC270" s="2"/>
      <c r="AD270" s="2"/>
    </row>
    <row r="271" spans="1:30" ht="12.75">
      <c r="A271" s="30" t="s">
        <v>188</v>
      </c>
      <c r="B271" s="30">
        <v>1300</v>
      </c>
      <c r="C271" s="30">
        <v>910</v>
      </c>
      <c r="D271" s="49">
        <v>3.99</v>
      </c>
      <c r="E271" s="30">
        <v>21.6</v>
      </c>
      <c r="F271" s="30">
        <v>80</v>
      </c>
      <c r="G271" s="30">
        <v>90</v>
      </c>
      <c r="H271" s="30">
        <v>61</v>
      </c>
      <c r="I271" s="53">
        <v>12.7</v>
      </c>
      <c r="J271" s="49">
        <v>0.48</v>
      </c>
      <c r="K271" s="49">
        <v>0.24</v>
      </c>
      <c r="L271" s="30" t="s">
        <v>508</v>
      </c>
      <c r="M271" s="30" t="s">
        <v>508</v>
      </c>
      <c r="N271" s="30" t="s">
        <v>508</v>
      </c>
      <c r="O271" s="30" t="s">
        <v>508</v>
      </c>
      <c r="P271" s="5"/>
      <c r="Q271" s="5"/>
      <c r="R271" s="5"/>
      <c r="S271" s="5"/>
      <c r="T271" s="5"/>
      <c r="U271" s="5"/>
      <c r="V271" s="2"/>
      <c r="W271" s="2"/>
      <c r="X271" s="2"/>
      <c r="Y271" s="2"/>
      <c r="Z271" s="2"/>
      <c r="AA271" s="2"/>
      <c r="AB271" s="2"/>
      <c r="AC271" s="2"/>
      <c r="AD271" s="2"/>
    </row>
    <row r="272" spans="1:30" ht="13.5" thickBot="1">
      <c r="A272" s="50" t="s">
        <v>188</v>
      </c>
      <c r="B272" s="50">
        <v>1300</v>
      </c>
      <c r="C272" s="50">
        <v>910</v>
      </c>
      <c r="D272" s="51">
        <v>4.48</v>
      </c>
      <c r="E272" s="50">
        <v>20</v>
      </c>
      <c r="F272" s="50">
        <v>90</v>
      </c>
      <c r="G272" s="50">
        <v>104</v>
      </c>
      <c r="H272" s="50">
        <v>72</v>
      </c>
      <c r="I272" s="54">
        <v>14.6</v>
      </c>
      <c r="J272" s="51">
        <v>0.56</v>
      </c>
      <c r="K272" s="51">
        <v>0.28</v>
      </c>
      <c r="L272" s="50" t="s">
        <v>508</v>
      </c>
      <c r="M272" s="50" t="s">
        <v>508</v>
      </c>
      <c r="N272" s="50" t="s">
        <v>508</v>
      </c>
      <c r="O272" s="50" t="s">
        <v>508</v>
      </c>
      <c r="P272" s="5"/>
      <c r="Q272" s="5"/>
      <c r="R272" s="5"/>
      <c r="S272" s="5"/>
      <c r="T272" s="5"/>
      <c r="U272" s="5"/>
      <c r="V272" s="2"/>
      <c r="W272" s="2"/>
      <c r="X272" s="2"/>
      <c r="Y272" s="2"/>
      <c r="Z272" s="2"/>
      <c r="AA272" s="2"/>
      <c r="AB272" s="2"/>
      <c r="AC272" s="2"/>
      <c r="AD272" s="2"/>
    </row>
    <row r="273" spans="1:30" ht="12.75">
      <c r="A273" s="30" t="s">
        <v>188</v>
      </c>
      <c r="B273" s="30">
        <v>1300</v>
      </c>
      <c r="C273" s="30">
        <v>975</v>
      </c>
      <c r="D273" s="49">
        <v>0.76</v>
      </c>
      <c r="E273" s="30">
        <v>23.4</v>
      </c>
      <c r="F273" s="30">
        <v>50</v>
      </c>
      <c r="G273" s="30">
        <v>45</v>
      </c>
      <c r="H273" s="30">
        <v>20</v>
      </c>
      <c r="I273" s="53">
        <v>6.6</v>
      </c>
      <c r="J273" s="49">
        <v>0.2</v>
      </c>
      <c r="K273" s="49">
        <v>0.13</v>
      </c>
      <c r="L273" s="30" t="s">
        <v>508</v>
      </c>
      <c r="M273" s="30" t="s">
        <v>508</v>
      </c>
      <c r="N273" s="30" t="s">
        <v>508</v>
      </c>
      <c r="O273" s="30" t="s">
        <v>508</v>
      </c>
      <c r="P273" s="5"/>
      <c r="Q273" s="5"/>
      <c r="R273" s="5"/>
      <c r="S273" s="5"/>
      <c r="T273" s="5"/>
      <c r="U273" s="5"/>
      <c r="V273" s="2"/>
      <c r="W273" s="2"/>
      <c r="X273" s="2"/>
      <c r="Y273" s="2"/>
      <c r="Z273" s="2"/>
      <c r="AA273" s="2"/>
      <c r="AB273" s="2"/>
      <c r="AC273" s="2"/>
      <c r="AD273" s="2"/>
    </row>
    <row r="274" spans="1:30" ht="12.75">
      <c r="A274" s="30" t="s">
        <v>188</v>
      </c>
      <c r="B274" s="30">
        <v>1300</v>
      </c>
      <c r="C274" s="30">
        <v>975</v>
      </c>
      <c r="D274" s="49">
        <v>2.11</v>
      </c>
      <c r="E274" s="30">
        <v>24.7</v>
      </c>
      <c r="F274" s="30">
        <v>60</v>
      </c>
      <c r="G274" s="30">
        <v>61</v>
      </c>
      <c r="H274" s="30">
        <v>35</v>
      </c>
      <c r="I274" s="53">
        <v>8.4</v>
      </c>
      <c r="J274" s="49">
        <v>0.28</v>
      </c>
      <c r="K274" s="49">
        <v>0.16</v>
      </c>
      <c r="L274" s="30" t="s">
        <v>508</v>
      </c>
      <c r="M274" s="30" t="s">
        <v>508</v>
      </c>
      <c r="N274" s="30" t="s">
        <v>508</v>
      </c>
      <c r="O274" s="30" t="s">
        <v>508</v>
      </c>
      <c r="P274" s="5"/>
      <c r="Q274" s="5"/>
      <c r="R274" s="5"/>
      <c r="S274" s="5"/>
      <c r="T274" s="5"/>
      <c r="U274" s="5"/>
      <c r="V274" s="2"/>
      <c r="W274" s="2"/>
      <c r="X274" s="2"/>
      <c r="Y274" s="2"/>
      <c r="Z274" s="2"/>
      <c r="AA274" s="2"/>
      <c r="AB274" s="2"/>
      <c r="AC274" s="2"/>
      <c r="AD274" s="2"/>
    </row>
    <row r="275" spans="1:30" ht="12.75">
      <c r="A275" s="30" t="s">
        <v>188</v>
      </c>
      <c r="B275" s="30">
        <v>1300</v>
      </c>
      <c r="C275" s="30">
        <v>975</v>
      </c>
      <c r="D275" s="49">
        <v>3.21</v>
      </c>
      <c r="E275" s="30">
        <v>24.1</v>
      </c>
      <c r="F275" s="30">
        <v>70</v>
      </c>
      <c r="G275" s="30">
        <v>76</v>
      </c>
      <c r="H275" s="30">
        <v>48</v>
      </c>
      <c r="I275" s="53">
        <v>10.2</v>
      </c>
      <c r="J275" s="49">
        <v>0.37</v>
      </c>
      <c r="K275" s="49">
        <v>0.19</v>
      </c>
      <c r="L275" s="30" t="s">
        <v>508</v>
      </c>
      <c r="M275" s="30" t="s">
        <v>508</v>
      </c>
      <c r="N275" s="30" t="s">
        <v>508</v>
      </c>
      <c r="O275" s="30" t="s">
        <v>508</v>
      </c>
      <c r="P275" s="5"/>
      <c r="Q275" s="5"/>
      <c r="R275" s="5"/>
      <c r="S275" s="5"/>
      <c r="T275" s="5"/>
      <c r="U275" s="5"/>
      <c r="V275" s="2"/>
      <c r="W275" s="2"/>
      <c r="X275" s="2"/>
      <c r="Y275" s="2"/>
      <c r="Z275" s="2"/>
      <c r="AA275" s="2"/>
      <c r="AB275" s="2"/>
      <c r="AC275" s="2"/>
      <c r="AD275" s="2"/>
    </row>
    <row r="276" spans="1:30" ht="12.75">
      <c r="A276" s="30" t="s">
        <v>188</v>
      </c>
      <c r="B276" s="30">
        <v>1300</v>
      </c>
      <c r="C276" s="30">
        <v>975</v>
      </c>
      <c r="D276" s="49">
        <v>3.99</v>
      </c>
      <c r="E276" s="30">
        <v>22.8</v>
      </c>
      <c r="F276" s="31">
        <v>80</v>
      </c>
      <c r="G276" s="31">
        <v>90</v>
      </c>
      <c r="H276" s="31">
        <v>61</v>
      </c>
      <c r="I276" s="53">
        <v>11.9</v>
      </c>
      <c r="J276" s="52">
        <v>0.44</v>
      </c>
      <c r="K276" s="52">
        <v>0.23</v>
      </c>
      <c r="L276" s="30" t="s">
        <v>508</v>
      </c>
      <c r="M276" s="30" t="s">
        <v>508</v>
      </c>
      <c r="N276" s="30" t="s">
        <v>508</v>
      </c>
      <c r="O276" s="30" t="s">
        <v>508</v>
      </c>
      <c r="P276" s="5"/>
      <c r="Q276" s="5"/>
      <c r="R276" s="5"/>
      <c r="S276" s="5"/>
      <c r="T276" s="5"/>
      <c r="U276" s="5"/>
      <c r="V276" s="2"/>
      <c r="W276" s="2"/>
      <c r="X276" s="2"/>
      <c r="Y276" s="2"/>
      <c r="Z276" s="2"/>
      <c r="AA276" s="2"/>
      <c r="AB276" s="2"/>
      <c r="AC276" s="2"/>
      <c r="AD276" s="2"/>
    </row>
    <row r="277" spans="1:30" ht="13.5" thickBot="1">
      <c r="A277" s="50" t="s">
        <v>188</v>
      </c>
      <c r="B277" s="50">
        <v>1300</v>
      </c>
      <c r="C277" s="50">
        <v>975</v>
      </c>
      <c r="D277" s="51">
        <v>4.48</v>
      </c>
      <c r="E277" s="50">
        <v>21</v>
      </c>
      <c r="F277" s="50">
        <v>90</v>
      </c>
      <c r="G277" s="50">
        <v>104</v>
      </c>
      <c r="H277" s="50">
        <v>72</v>
      </c>
      <c r="I277" s="54">
        <v>13.7</v>
      </c>
      <c r="J277" s="51">
        <v>0.52</v>
      </c>
      <c r="K277" s="51">
        <v>0.26</v>
      </c>
      <c r="L277" s="50" t="s">
        <v>508</v>
      </c>
      <c r="M277" s="50" t="s">
        <v>508</v>
      </c>
      <c r="N277" s="50" t="s">
        <v>508</v>
      </c>
      <c r="O277" s="50" t="s">
        <v>508</v>
      </c>
      <c r="P277" s="5"/>
      <c r="Q277" s="5"/>
      <c r="R277" s="5"/>
      <c r="S277" s="5"/>
      <c r="T277" s="5"/>
      <c r="U277" s="5"/>
      <c r="V277" s="2"/>
      <c r="W277" s="2"/>
      <c r="X277" s="2"/>
      <c r="Y277" s="2"/>
      <c r="Z277" s="2"/>
      <c r="AA277" s="2"/>
      <c r="AB277" s="2"/>
      <c r="AC277" s="2"/>
      <c r="AD277" s="2"/>
    </row>
    <row r="278" spans="1:30" ht="12.75">
      <c r="A278" s="30" t="s">
        <v>188</v>
      </c>
      <c r="B278" s="30">
        <v>1300</v>
      </c>
      <c r="C278" s="30">
        <v>1040</v>
      </c>
      <c r="D278" s="49">
        <v>0.76</v>
      </c>
      <c r="E278" s="30">
        <v>24.5</v>
      </c>
      <c r="F278" s="30">
        <v>50</v>
      </c>
      <c r="G278" s="30">
        <v>45</v>
      </c>
      <c r="H278" s="30">
        <v>20</v>
      </c>
      <c r="I278" s="53">
        <v>6.5</v>
      </c>
      <c r="J278" s="49">
        <v>0.19</v>
      </c>
      <c r="K278" s="49">
        <v>0.13</v>
      </c>
      <c r="L278" s="30" t="s">
        <v>508</v>
      </c>
      <c r="M278" s="30" t="s">
        <v>508</v>
      </c>
      <c r="N278" s="30" t="s">
        <v>508</v>
      </c>
      <c r="O278" s="30" t="s">
        <v>508</v>
      </c>
      <c r="P278" s="5"/>
      <c r="Q278" s="5"/>
      <c r="R278" s="5"/>
      <c r="S278" s="5"/>
      <c r="T278" s="5"/>
      <c r="U278" s="5"/>
      <c r="V278" s="2"/>
      <c r="W278" s="2"/>
      <c r="X278" s="2"/>
      <c r="Y278" s="2"/>
      <c r="Z278" s="2"/>
      <c r="AA278" s="2"/>
      <c r="AB278" s="2"/>
      <c r="AC278" s="2"/>
      <c r="AD278" s="2"/>
    </row>
    <row r="279" spans="1:30" ht="12.75">
      <c r="A279" s="30" t="s">
        <v>188</v>
      </c>
      <c r="B279" s="30">
        <v>1300</v>
      </c>
      <c r="C279" s="30">
        <v>1040</v>
      </c>
      <c r="D279" s="49">
        <v>2.11</v>
      </c>
      <c r="E279" s="30">
        <v>25.9</v>
      </c>
      <c r="F279" s="30">
        <v>60</v>
      </c>
      <c r="G279" s="30">
        <v>61</v>
      </c>
      <c r="H279" s="30">
        <v>35</v>
      </c>
      <c r="I279" s="53">
        <v>8</v>
      </c>
      <c r="J279" s="49">
        <v>0.27</v>
      </c>
      <c r="K279" s="49">
        <v>0.15</v>
      </c>
      <c r="L279" s="30" t="s">
        <v>508</v>
      </c>
      <c r="M279" s="30" t="s">
        <v>508</v>
      </c>
      <c r="N279" s="30" t="s">
        <v>508</v>
      </c>
      <c r="O279" s="30" t="s">
        <v>508</v>
      </c>
      <c r="P279" s="5"/>
      <c r="Q279" s="5"/>
      <c r="R279" s="5"/>
      <c r="S279" s="5"/>
      <c r="T279" s="5"/>
      <c r="U279" s="5"/>
      <c r="V279" s="2"/>
      <c r="W279" s="2"/>
      <c r="X279" s="2"/>
      <c r="Y279" s="2"/>
      <c r="Z279" s="2"/>
      <c r="AA279" s="2"/>
      <c r="AB279" s="2"/>
      <c r="AC279" s="2"/>
      <c r="AD279" s="2"/>
    </row>
    <row r="280" spans="1:30" ht="12.75">
      <c r="A280" s="30" t="s">
        <v>188</v>
      </c>
      <c r="B280" s="30">
        <v>1300</v>
      </c>
      <c r="C280" s="30">
        <v>1040</v>
      </c>
      <c r="D280" s="49">
        <v>3.21</v>
      </c>
      <c r="E280" s="30">
        <v>25.3</v>
      </c>
      <c r="F280" s="30">
        <v>70</v>
      </c>
      <c r="G280" s="30">
        <v>76</v>
      </c>
      <c r="H280" s="30">
        <v>48</v>
      </c>
      <c r="I280" s="53">
        <v>9.6</v>
      </c>
      <c r="J280" s="49">
        <v>0.34</v>
      </c>
      <c r="K280" s="49">
        <v>0.19</v>
      </c>
      <c r="L280" s="30" t="s">
        <v>508</v>
      </c>
      <c r="M280" s="30" t="s">
        <v>508</v>
      </c>
      <c r="N280" s="30" t="s">
        <v>508</v>
      </c>
      <c r="O280" s="30" t="s">
        <v>508</v>
      </c>
      <c r="P280" s="5"/>
      <c r="Q280" s="5"/>
      <c r="R280" s="5"/>
      <c r="S280" s="5"/>
      <c r="T280" s="5"/>
      <c r="U280" s="5"/>
      <c r="V280" s="2"/>
      <c r="W280" s="2"/>
      <c r="X280" s="2"/>
      <c r="Y280" s="2"/>
      <c r="Z280" s="2"/>
      <c r="AA280" s="2"/>
      <c r="AB280" s="2"/>
      <c r="AC280" s="2"/>
      <c r="AD280" s="2"/>
    </row>
    <row r="281" spans="1:30" ht="12.75">
      <c r="A281" s="30" t="s">
        <v>188</v>
      </c>
      <c r="B281" s="30">
        <v>1300</v>
      </c>
      <c r="C281" s="30">
        <v>1040</v>
      </c>
      <c r="D281" s="49">
        <v>3.99</v>
      </c>
      <c r="E281" s="30">
        <v>23.9</v>
      </c>
      <c r="F281" s="31">
        <v>80</v>
      </c>
      <c r="G281" s="31">
        <v>90</v>
      </c>
      <c r="H281" s="31">
        <v>61</v>
      </c>
      <c r="I281" s="55">
        <v>11.3</v>
      </c>
      <c r="J281" s="52">
        <v>0.41</v>
      </c>
      <c r="K281" s="52">
        <v>0.22</v>
      </c>
      <c r="L281" s="30" t="s">
        <v>508</v>
      </c>
      <c r="M281" s="30" t="s">
        <v>508</v>
      </c>
      <c r="N281" s="30" t="s">
        <v>508</v>
      </c>
      <c r="O281" s="30" t="s">
        <v>508</v>
      </c>
      <c r="P281" s="5"/>
      <c r="Q281" s="5"/>
      <c r="R281" s="5"/>
      <c r="S281" s="5"/>
      <c r="T281" s="5"/>
      <c r="U281" s="5"/>
      <c r="V281" s="2"/>
      <c r="W281" s="2"/>
      <c r="X281" s="2"/>
      <c r="Y281" s="2"/>
      <c r="Z281" s="2"/>
      <c r="AA281" s="2"/>
      <c r="AB281" s="2"/>
      <c r="AC281" s="2"/>
      <c r="AD281" s="2"/>
    </row>
    <row r="282" spans="1:30" ht="13.5" thickBot="1">
      <c r="A282" s="50" t="s">
        <v>188</v>
      </c>
      <c r="B282" s="50">
        <v>1300</v>
      </c>
      <c r="C282" s="50">
        <v>1040</v>
      </c>
      <c r="D282" s="51">
        <v>4.48</v>
      </c>
      <c r="E282" s="50">
        <v>22.1</v>
      </c>
      <c r="F282" s="50">
        <v>90</v>
      </c>
      <c r="G282" s="50">
        <v>104</v>
      </c>
      <c r="H282" s="50">
        <v>72</v>
      </c>
      <c r="I282" s="54">
        <v>12.9</v>
      </c>
      <c r="J282" s="51">
        <v>0.48</v>
      </c>
      <c r="K282" s="51">
        <v>0.25</v>
      </c>
      <c r="L282" s="50" t="s">
        <v>508</v>
      </c>
      <c r="M282" s="50" t="s">
        <v>508</v>
      </c>
      <c r="N282" s="50" t="s">
        <v>508</v>
      </c>
      <c r="O282" s="50" t="s">
        <v>508</v>
      </c>
      <c r="P282" s="5"/>
      <c r="Q282" s="5"/>
      <c r="R282" s="5"/>
      <c r="S282" s="5"/>
      <c r="T282" s="5"/>
      <c r="U282" s="5"/>
      <c r="V282" s="2"/>
      <c r="W282" s="2"/>
      <c r="X282" s="2"/>
      <c r="Y282" s="2"/>
      <c r="Z282" s="2"/>
      <c r="AA282" s="2"/>
      <c r="AB282" s="2"/>
      <c r="AC282" s="2"/>
      <c r="AD282" s="2"/>
    </row>
    <row r="283" spans="1:30" ht="12.75">
      <c r="A283" s="30" t="s">
        <v>188</v>
      </c>
      <c r="B283" s="30">
        <v>1400</v>
      </c>
      <c r="C283" s="30">
        <v>770</v>
      </c>
      <c r="D283" s="49">
        <v>0.8</v>
      </c>
      <c r="E283" s="30">
        <v>19.6</v>
      </c>
      <c r="F283" s="30">
        <v>50</v>
      </c>
      <c r="G283" s="30">
        <v>45</v>
      </c>
      <c r="H283" s="30">
        <v>20</v>
      </c>
      <c r="I283" s="53">
        <v>7.3</v>
      </c>
      <c r="J283" s="49">
        <v>0.22</v>
      </c>
      <c r="K283" s="49">
        <v>0.13</v>
      </c>
      <c r="L283" s="30" t="s">
        <v>508</v>
      </c>
      <c r="M283" s="30" t="s">
        <v>508</v>
      </c>
      <c r="N283" s="30" t="s">
        <v>508</v>
      </c>
      <c r="O283" s="30" t="s">
        <v>508</v>
      </c>
      <c r="P283" s="5"/>
      <c r="Q283" s="5"/>
      <c r="R283" s="5"/>
      <c r="S283" s="5"/>
      <c r="T283" s="5"/>
      <c r="U283" s="5"/>
      <c r="V283" s="2"/>
      <c r="W283" s="2"/>
      <c r="X283" s="2"/>
      <c r="Y283" s="2"/>
      <c r="Z283" s="2"/>
      <c r="AA283" s="2"/>
      <c r="AB283" s="2"/>
      <c r="AC283" s="2"/>
      <c r="AD283" s="2"/>
    </row>
    <row r="284" spans="1:30" ht="12.75">
      <c r="A284" s="30" t="s">
        <v>188</v>
      </c>
      <c r="B284" s="30">
        <v>1400</v>
      </c>
      <c r="C284" s="30">
        <v>770</v>
      </c>
      <c r="D284" s="49">
        <v>2.22</v>
      </c>
      <c r="E284" s="30">
        <v>20.7</v>
      </c>
      <c r="F284" s="30">
        <v>60</v>
      </c>
      <c r="G284" s="30">
        <v>61</v>
      </c>
      <c r="H284" s="30">
        <v>35</v>
      </c>
      <c r="I284" s="53">
        <v>10.1</v>
      </c>
      <c r="J284" s="49">
        <v>0.36</v>
      </c>
      <c r="K284" s="49">
        <v>0.19</v>
      </c>
      <c r="L284" s="30" t="s">
        <v>508</v>
      </c>
      <c r="M284" s="30" t="s">
        <v>508</v>
      </c>
      <c r="N284" s="30" t="s">
        <v>508</v>
      </c>
      <c r="O284" s="30" t="s">
        <v>508</v>
      </c>
      <c r="P284" s="5"/>
      <c r="Q284" s="5"/>
      <c r="R284" s="5"/>
      <c r="S284" s="5"/>
      <c r="T284" s="5"/>
      <c r="U284" s="5"/>
      <c r="V284" s="2"/>
      <c r="W284" s="2"/>
      <c r="X284" s="2"/>
      <c r="Y284" s="2"/>
      <c r="Z284" s="2"/>
      <c r="AA284" s="2"/>
      <c r="AB284" s="2"/>
      <c r="AC284" s="2"/>
      <c r="AD284" s="2"/>
    </row>
    <row r="285" spans="1:30" ht="12.75">
      <c r="A285" s="30" t="s">
        <v>188</v>
      </c>
      <c r="B285" s="30">
        <v>1400</v>
      </c>
      <c r="C285" s="30">
        <v>770</v>
      </c>
      <c r="D285" s="49">
        <v>3.38</v>
      </c>
      <c r="E285" s="30">
        <v>20.2</v>
      </c>
      <c r="F285" s="30">
        <v>70</v>
      </c>
      <c r="G285" s="30">
        <v>76</v>
      </c>
      <c r="H285" s="30">
        <v>48</v>
      </c>
      <c r="I285" s="53">
        <v>12.9</v>
      </c>
      <c r="J285" s="49">
        <v>0.49</v>
      </c>
      <c r="K285" s="49">
        <v>0.24</v>
      </c>
      <c r="L285" s="30" t="s">
        <v>508</v>
      </c>
      <c r="M285" s="30" t="s">
        <v>508</v>
      </c>
      <c r="N285" s="30" t="s">
        <v>508</v>
      </c>
      <c r="O285" s="30" t="s">
        <v>508</v>
      </c>
      <c r="P285" s="5"/>
      <c r="Q285" s="5"/>
      <c r="R285" s="5"/>
      <c r="S285" s="5"/>
      <c r="T285" s="5"/>
      <c r="U285" s="5"/>
      <c r="V285" s="2"/>
      <c r="W285" s="2"/>
      <c r="X285" s="2"/>
      <c r="Y285" s="2"/>
      <c r="Z285" s="2"/>
      <c r="AA285" s="2"/>
      <c r="AB285" s="2"/>
      <c r="AC285" s="2"/>
      <c r="AD285" s="2"/>
    </row>
    <row r="286" spans="1:30" ht="12.75">
      <c r="A286" s="30" t="s">
        <v>188</v>
      </c>
      <c r="B286" s="30">
        <v>1400</v>
      </c>
      <c r="C286" s="30">
        <v>770</v>
      </c>
      <c r="D286" s="49">
        <v>4.2</v>
      </c>
      <c r="E286" s="30">
        <v>19.1</v>
      </c>
      <c r="F286" s="30">
        <v>80</v>
      </c>
      <c r="G286" s="30">
        <v>90</v>
      </c>
      <c r="H286" s="30">
        <v>61</v>
      </c>
      <c r="I286" s="53">
        <v>15.6</v>
      </c>
      <c r="J286" s="49">
        <v>0.61</v>
      </c>
      <c r="K286" s="49">
        <v>0.29</v>
      </c>
      <c r="L286" s="30" t="s">
        <v>508</v>
      </c>
      <c r="M286" s="30" t="s">
        <v>508</v>
      </c>
      <c r="N286" s="30" t="s">
        <v>508</v>
      </c>
      <c r="O286" s="30" t="s">
        <v>508</v>
      </c>
      <c r="P286" s="5"/>
      <c r="Q286" s="5"/>
      <c r="R286" s="5"/>
      <c r="S286" s="5"/>
      <c r="T286" s="5"/>
      <c r="U286" s="5"/>
      <c r="V286" s="2"/>
      <c r="W286" s="2"/>
      <c r="X286" s="2"/>
      <c r="Y286" s="2"/>
      <c r="Z286" s="2"/>
      <c r="AA286" s="2"/>
      <c r="AB286" s="2"/>
      <c r="AC286" s="2"/>
      <c r="AD286" s="2"/>
    </row>
    <row r="287" spans="1:30" ht="13.5" thickBot="1">
      <c r="A287" s="50" t="s">
        <v>188</v>
      </c>
      <c r="B287" s="50">
        <v>1400</v>
      </c>
      <c r="C287" s="50">
        <v>770</v>
      </c>
      <c r="D287" s="51">
        <v>4.72</v>
      </c>
      <c r="E287" s="50">
        <v>17.6</v>
      </c>
      <c r="F287" s="50">
        <v>90</v>
      </c>
      <c r="G287" s="50">
        <v>104</v>
      </c>
      <c r="H287" s="50">
        <v>72</v>
      </c>
      <c r="I287" s="54">
        <v>18.1</v>
      </c>
      <c r="J287" s="51">
        <v>0.72</v>
      </c>
      <c r="K287" s="51">
        <v>0.34</v>
      </c>
      <c r="L287" s="50" t="s">
        <v>508</v>
      </c>
      <c r="M287" s="50" t="s">
        <v>508</v>
      </c>
      <c r="N287" s="50" t="s">
        <v>508</v>
      </c>
      <c r="O287" s="50" t="s">
        <v>508</v>
      </c>
      <c r="P287" s="5"/>
      <c r="Q287" s="5"/>
      <c r="R287" s="5"/>
      <c r="S287" s="5"/>
      <c r="T287" s="5"/>
      <c r="U287" s="5"/>
      <c r="V287" s="2"/>
      <c r="W287" s="2"/>
      <c r="X287" s="2"/>
      <c r="Y287" s="2"/>
      <c r="Z287" s="2"/>
      <c r="AA287" s="2"/>
      <c r="AB287" s="2"/>
      <c r="AC287" s="2"/>
      <c r="AD287" s="2"/>
    </row>
    <row r="288" spans="1:30" ht="12.75">
      <c r="A288" s="30" t="s">
        <v>188</v>
      </c>
      <c r="B288" s="30">
        <v>1400</v>
      </c>
      <c r="C288" s="30">
        <v>840</v>
      </c>
      <c r="D288" s="49">
        <v>0.8</v>
      </c>
      <c r="E288" s="30">
        <v>20.9</v>
      </c>
      <c r="F288" s="30">
        <v>50</v>
      </c>
      <c r="G288" s="30">
        <v>45</v>
      </c>
      <c r="H288" s="30">
        <v>20</v>
      </c>
      <c r="I288" s="53">
        <v>7.1</v>
      </c>
      <c r="J288" s="49">
        <v>0.21</v>
      </c>
      <c r="K288" s="49">
        <v>0.13</v>
      </c>
      <c r="L288" s="30" t="s">
        <v>508</v>
      </c>
      <c r="M288" s="30" t="s">
        <v>508</v>
      </c>
      <c r="N288" s="30" t="s">
        <v>508</v>
      </c>
      <c r="O288" s="30" t="s">
        <v>508</v>
      </c>
      <c r="P288" s="5"/>
      <c r="Q288" s="5"/>
      <c r="R288" s="5"/>
      <c r="S288" s="5"/>
      <c r="T288" s="5"/>
      <c r="U288" s="5"/>
      <c r="V288" s="2"/>
      <c r="W288" s="2"/>
      <c r="X288" s="2"/>
      <c r="Y288" s="2"/>
      <c r="Z288" s="2"/>
      <c r="AA288" s="2"/>
      <c r="AB288" s="2"/>
      <c r="AC288" s="2"/>
      <c r="AD288" s="2"/>
    </row>
    <row r="289" spans="1:30" ht="12.75">
      <c r="A289" s="30" t="s">
        <v>188</v>
      </c>
      <c r="B289" s="30">
        <v>1400</v>
      </c>
      <c r="C289" s="30">
        <v>840</v>
      </c>
      <c r="D289" s="49">
        <v>2.22</v>
      </c>
      <c r="E289" s="30">
        <v>22.1</v>
      </c>
      <c r="F289" s="30">
        <v>60</v>
      </c>
      <c r="G289" s="30">
        <v>61</v>
      </c>
      <c r="H289" s="30">
        <v>35</v>
      </c>
      <c r="I289" s="53">
        <v>9.6</v>
      </c>
      <c r="J289" s="49">
        <v>0.34</v>
      </c>
      <c r="K289" s="49">
        <v>0.18</v>
      </c>
      <c r="L289" s="30" t="s">
        <v>508</v>
      </c>
      <c r="M289" s="30" t="s">
        <v>508</v>
      </c>
      <c r="N289" s="30" t="s">
        <v>508</v>
      </c>
      <c r="O289" s="30" t="s">
        <v>508</v>
      </c>
      <c r="P289" s="5"/>
      <c r="Q289" s="5"/>
      <c r="R289" s="5"/>
      <c r="S289" s="5"/>
      <c r="T289" s="5"/>
      <c r="U289" s="5"/>
      <c r="V289" s="2"/>
      <c r="W289" s="2"/>
      <c r="X289" s="2"/>
      <c r="Y289" s="2"/>
      <c r="Z289" s="2"/>
      <c r="AA289" s="2"/>
      <c r="AB289" s="2"/>
      <c r="AC289" s="2"/>
      <c r="AD289" s="2"/>
    </row>
    <row r="290" spans="1:30" ht="12.75">
      <c r="A290" s="30" t="s">
        <v>188</v>
      </c>
      <c r="B290" s="30">
        <v>1400</v>
      </c>
      <c r="C290" s="30">
        <v>840</v>
      </c>
      <c r="D290" s="49">
        <v>3.38</v>
      </c>
      <c r="E290" s="30">
        <v>21.6</v>
      </c>
      <c r="F290" s="30">
        <v>70</v>
      </c>
      <c r="G290" s="30">
        <v>76</v>
      </c>
      <c r="H290" s="30">
        <v>48</v>
      </c>
      <c r="I290" s="53">
        <v>12.1</v>
      </c>
      <c r="J290" s="49">
        <v>0.45</v>
      </c>
      <c r="K290" s="49">
        <v>0.23</v>
      </c>
      <c r="L290" s="30" t="s">
        <v>508</v>
      </c>
      <c r="M290" s="30" t="s">
        <v>508</v>
      </c>
      <c r="N290" s="30" t="s">
        <v>508</v>
      </c>
      <c r="O290" s="30" t="s">
        <v>508</v>
      </c>
      <c r="P290" s="5"/>
      <c r="Q290" s="5"/>
      <c r="R290" s="5"/>
      <c r="S290" s="5"/>
      <c r="T290" s="5"/>
      <c r="U290" s="5"/>
      <c r="V290" s="2"/>
      <c r="W290" s="2"/>
      <c r="X290" s="2"/>
      <c r="Y290" s="2"/>
      <c r="Z290" s="2"/>
      <c r="AA290" s="2"/>
      <c r="AB290" s="2"/>
      <c r="AC290" s="2"/>
      <c r="AD290" s="2"/>
    </row>
    <row r="291" spans="1:30" ht="12.75">
      <c r="A291" s="30" t="s">
        <v>188</v>
      </c>
      <c r="B291" s="30">
        <v>1400</v>
      </c>
      <c r="C291" s="30">
        <v>840</v>
      </c>
      <c r="D291" s="49">
        <v>4.2</v>
      </c>
      <c r="E291" s="30">
        <v>20.4</v>
      </c>
      <c r="F291" s="30">
        <v>80</v>
      </c>
      <c r="G291" s="30">
        <v>90</v>
      </c>
      <c r="H291" s="30">
        <v>61</v>
      </c>
      <c r="I291" s="53">
        <v>14.5</v>
      </c>
      <c r="J291" s="49">
        <v>0.56</v>
      </c>
      <c r="K291" s="49">
        <v>0.27</v>
      </c>
      <c r="L291" s="30" t="s">
        <v>508</v>
      </c>
      <c r="M291" s="30" t="s">
        <v>508</v>
      </c>
      <c r="N291" s="30" t="s">
        <v>508</v>
      </c>
      <c r="O291" s="30" t="s">
        <v>508</v>
      </c>
      <c r="P291" s="5"/>
      <c r="Q291" s="5"/>
      <c r="R291" s="5"/>
      <c r="S291" s="5"/>
      <c r="T291" s="5"/>
      <c r="U291" s="5"/>
      <c r="V291" s="2"/>
      <c r="W291" s="2"/>
      <c r="X291" s="2"/>
      <c r="Y291" s="2"/>
      <c r="Z291" s="2"/>
      <c r="AA291" s="2"/>
      <c r="AB291" s="2"/>
      <c r="AC291" s="2"/>
      <c r="AD291" s="2"/>
    </row>
    <row r="292" spans="1:30" ht="13.5" thickBot="1">
      <c r="A292" s="50" t="s">
        <v>188</v>
      </c>
      <c r="B292" s="50">
        <v>1400</v>
      </c>
      <c r="C292" s="50">
        <v>840</v>
      </c>
      <c r="D292" s="51">
        <v>4.72</v>
      </c>
      <c r="E292" s="50">
        <v>18.8</v>
      </c>
      <c r="F292" s="50">
        <v>90</v>
      </c>
      <c r="G292" s="50">
        <v>104</v>
      </c>
      <c r="H292" s="50">
        <v>72</v>
      </c>
      <c r="I292" s="54">
        <v>16.8</v>
      </c>
      <c r="J292" s="51">
        <v>0.65</v>
      </c>
      <c r="K292" s="51">
        <v>0.32</v>
      </c>
      <c r="L292" s="50" t="s">
        <v>508</v>
      </c>
      <c r="M292" s="50" t="s">
        <v>508</v>
      </c>
      <c r="N292" s="50" t="s">
        <v>508</v>
      </c>
      <c r="O292" s="50" t="s">
        <v>508</v>
      </c>
      <c r="P292" s="5"/>
      <c r="Q292" s="5"/>
      <c r="R292" s="5"/>
      <c r="S292" s="5"/>
      <c r="T292" s="5"/>
      <c r="U292" s="5"/>
      <c r="V292" s="2"/>
      <c r="W292" s="2"/>
      <c r="X292" s="2"/>
      <c r="Y292" s="2"/>
      <c r="Z292" s="2"/>
      <c r="AA292" s="2"/>
      <c r="AB292" s="2"/>
      <c r="AC292" s="2"/>
      <c r="AD292" s="2"/>
    </row>
    <row r="293" spans="1:30" ht="12.75">
      <c r="A293" s="30" t="s">
        <v>188</v>
      </c>
      <c r="B293" s="30">
        <v>1400</v>
      </c>
      <c r="C293" s="30">
        <v>910</v>
      </c>
      <c r="D293" s="49">
        <v>0.8</v>
      </c>
      <c r="E293" s="30">
        <v>22.2</v>
      </c>
      <c r="F293" s="30">
        <v>50</v>
      </c>
      <c r="G293" s="30">
        <v>45</v>
      </c>
      <c r="H293" s="30">
        <v>20</v>
      </c>
      <c r="I293" s="53">
        <v>6.9</v>
      </c>
      <c r="J293" s="49">
        <v>0.21</v>
      </c>
      <c r="K293" s="49">
        <v>0.13</v>
      </c>
      <c r="L293" s="30" t="s">
        <v>508</v>
      </c>
      <c r="M293" s="30" t="s">
        <v>508</v>
      </c>
      <c r="N293" s="30" t="s">
        <v>508</v>
      </c>
      <c r="O293" s="30" t="s">
        <v>508</v>
      </c>
      <c r="P293" s="5"/>
      <c r="Q293" s="5"/>
      <c r="R293" s="5"/>
      <c r="S293" s="5"/>
      <c r="T293" s="5"/>
      <c r="U293" s="5"/>
      <c r="V293" s="2"/>
      <c r="W293" s="2"/>
      <c r="X293" s="2"/>
      <c r="Y293" s="2"/>
      <c r="Z293" s="2"/>
      <c r="AA293" s="2"/>
      <c r="AB293" s="2"/>
      <c r="AC293" s="2"/>
      <c r="AD293" s="2"/>
    </row>
    <row r="294" spans="1:30" ht="12.75">
      <c r="A294" s="30" t="s">
        <v>188</v>
      </c>
      <c r="B294" s="30">
        <v>1400</v>
      </c>
      <c r="C294" s="30">
        <v>910</v>
      </c>
      <c r="D294" s="49">
        <v>2.22</v>
      </c>
      <c r="E294" s="30">
        <v>23.5</v>
      </c>
      <c r="F294" s="30">
        <v>60</v>
      </c>
      <c r="G294" s="30">
        <v>61</v>
      </c>
      <c r="H294" s="30">
        <v>35</v>
      </c>
      <c r="I294" s="53">
        <v>9.1</v>
      </c>
      <c r="J294" s="49">
        <v>0.32</v>
      </c>
      <c r="K294" s="49">
        <v>0.17</v>
      </c>
      <c r="L294" s="30" t="s">
        <v>508</v>
      </c>
      <c r="M294" s="30" t="s">
        <v>508</v>
      </c>
      <c r="N294" s="30" t="s">
        <v>508</v>
      </c>
      <c r="O294" s="30" t="s">
        <v>508</v>
      </c>
      <c r="P294" s="5"/>
      <c r="Q294" s="5"/>
      <c r="R294" s="5"/>
      <c r="S294" s="5"/>
      <c r="T294" s="5"/>
      <c r="U294" s="5"/>
      <c r="V294" s="2"/>
      <c r="W294" s="2"/>
      <c r="X294" s="2"/>
      <c r="Y294" s="2"/>
      <c r="Z294" s="2"/>
      <c r="AA294" s="2"/>
      <c r="AB294" s="2"/>
      <c r="AC294" s="2"/>
      <c r="AD294" s="2"/>
    </row>
    <row r="295" spans="1:30" ht="12.75">
      <c r="A295" s="30" t="s">
        <v>188</v>
      </c>
      <c r="B295" s="30">
        <v>1400</v>
      </c>
      <c r="C295" s="30">
        <v>910</v>
      </c>
      <c r="D295" s="49">
        <v>3.38</v>
      </c>
      <c r="E295" s="30">
        <v>22.9</v>
      </c>
      <c r="F295" s="30">
        <v>70</v>
      </c>
      <c r="G295" s="30">
        <v>76</v>
      </c>
      <c r="H295" s="30">
        <v>48</v>
      </c>
      <c r="I295" s="53">
        <v>11.3</v>
      </c>
      <c r="J295" s="49">
        <v>0.42</v>
      </c>
      <c r="K295" s="49">
        <v>0.22</v>
      </c>
      <c r="L295" s="30" t="s">
        <v>508</v>
      </c>
      <c r="M295" s="30" t="s">
        <v>508</v>
      </c>
      <c r="N295" s="30" t="s">
        <v>508</v>
      </c>
      <c r="O295" s="30" t="s">
        <v>508</v>
      </c>
      <c r="P295" s="5"/>
      <c r="Q295" s="5"/>
      <c r="R295" s="5"/>
      <c r="S295" s="5"/>
      <c r="T295" s="5"/>
      <c r="U295" s="5"/>
      <c r="V295" s="2"/>
      <c r="W295" s="2"/>
      <c r="X295" s="2"/>
      <c r="Y295" s="2"/>
      <c r="Z295" s="2"/>
      <c r="AA295" s="2"/>
      <c r="AB295" s="2"/>
      <c r="AC295" s="2"/>
      <c r="AD295" s="2"/>
    </row>
    <row r="296" spans="1:30" ht="12.75">
      <c r="A296" s="30" t="s">
        <v>188</v>
      </c>
      <c r="B296" s="30">
        <v>1400</v>
      </c>
      <c r="C296" s="30">
        <v>910</v>
      </c>
      <c r="D296" s="49">
        <v>4.2</v>
      </c>
      <c r="E296" s="30">
        <v>21.6</v>
      </c>
      <c r="F296" s="30">
        <v>80</v>
      </c>
      <c r="G296" s="30">
        <v>90</v>
      </c>
      <c r="H296" s="30">
        <v>61</v>
      </c>
      <c r="I296" s="53">
        <v>13.5</v>
      </c>
      <c r="J296" s="49">
        <v>0.51</v>
      </c>
      <c r="K296" s="49">
        <v>0.26</v>
      </c>
      <c r="L296" s="30" t="s">
        <v>508</v>
      </c>
      <c r="M296" s="30" t="s">
        <v>508</v>
      </c>
      <c r="N296" s="30" t="s">
        <v>508</v>
      </c>
      <c r="O296" s="30" t="s">
        <v>508</v>
      </c>
      <c r="P296" s="5"/>
      <c r="Q296" s="5"/>
      <c r="R296" s="5"/>
      <c r="S296" s="5"/>
      <c r="T296" s="5"/>
      <c r="U296" s="5"/>
      <c r="V296" s="2"/>
      <c r="W296" s="2"/>
      <c r="X296" s="2"/>
      <c r="Y296" s="2"/>
      <c r="Z296" s="2"/>
      <c r="AA296" s="2"/>
      <c r="AB296" s="2"/>
      <c r="AC296" s="2"/>
      <c r="AD296" s="2"/>
    </row>
    <row r="297" spans="1:30" ht="13.5" thickBot="1">
      <c r="A297" s="50" t="s">
        <v>188</v>
      </c>
      <c r="B297" s="50">
        <v>1400</v>
      </c>
      <c r="C297" s="50">
        <v>910</v>
      </c>
      <c r="D297" s="51">
        <v>4.72</v>
      </c>
      <c r="E297" s="50">
        <v>20</v>
      </c>
      <c r="F297" s="50">
        <v>90</v>
      </c>
      <c r="G297" s="50">
        <v>104</v>
      </c>
      <c r="H297" s="50">
        <v>72</v>
      </c>
      <c r="I297" s="54">
        <v>15.6</v>
      </c>
      <c r="J297" s="51">
        <v>0.6</v>
      </c>
      <c r="K297" s="51">
        <v>0.3</v>
      </c>
      <c r="L297" s="50" t="s">
        <v>508</v>
      </c>
      <c r="M297" s="50" t="s">
        <v>508</v>
      </c>
      <c r="N297" s="50" t="s">
        <v>508</v>
      </c>
      <c r="O297" s="50" t="s">
        <v>508</v>
      </c>
      <c r="P297" s="5"/>
      <c r="Q297" s="5"/>
      <c r="R297" s="5"/>
      <c r="S297" s="5"/>
      <c r="T297" s="5"/>
      <c r="U297" s="5"/>
      <c r="V297" s="2"/>
      <c r="W297" s="2"/>
      <c r="X297" s="2"/>
      <c r="Y297" s="2"/>
      <c r="Z297" s="2"/>
      <c r="AA297" s="2"/>
      <c r="AB297" s="2"/>
      <c r="AC297" s="2"/>
      <c r="AD297" s="2"/>
    </row>
    <row r="298" spans="1:30" ht="12.75">
      <c r="A298" s="30" t="s">
        <v>188</v>
      </c>
      <c r="B298" s="30">
        <v>1400</v>
      </c>
      <c r="C298" s="30">
        <v>980</v>
      </c>
      <c r="D298" s="49">
        <v>0.8</v>
      </c>
      <c r="E298" s="30">
        <v>23.5</v>
      </c>
      <c r="F298" s="30">
        <v>50</v>
      </c>
      <c r="G298" s="30">
        <v>45</v>
      </c>
      <c r="H298" s="30">
        <v>20</v>
      </c>
      <c r="I298" s="53">
        <v>6.7</v>
      </c>
      <c r="J298" s="49">
        <v>0.2</v>
      </c>
      <c r="K298" s="49">
        <v>0.13</v>
      </c>
      <c r="L298" s="30" t="s">
        <v>508</v>
      </c>
      <c r="M298" s="30" t="s">
        <v>508</v>
      </c>
      <c r="N298" s="30" t="s">
        <v>508</v>
      </c>
      <c r="O298" s="30" t="s">
        <v>508</v>
      </c>
      <c r="P298" s="5"/>
      <c r="Q298" s="5"/>
      <c r="R298" s="5"/>
      <c r="S298" s="5"/>
      <c r="T298" s="5"/>
      <c r="U298" s="5"/>
      <c r="V298" s="2"/>
      <c r="W298" s="2"/>
      <c r="X298" s="2"/>
      <c r="Y298" s="2"/>
      <c r="Z298" s="2"/>
      <c r="AA298" s="2"/>
      <c r="AB298" s="2"/>
      <c r="AC298" s="2"/>
      <c r="AD298" s="2"/>
    </row>
    <row r="299" spans="1:30" ht="12.75">
      <c r="A299" s="30" t="s">
        <v>188</v>
      </c>
      <c r="B299" s="30">
        <v>1400</v>
      </c>
      <c r="C299" s="30">
        <v>980</v>
      </c>
      <c r="D299" s="49">
        <v>2.22</v>
      </c>
      <c r="E299" s="30">
        <v>24.8</v>
      </c>
      <c r="F299" s="30">
        <v>60</v>
      </c>
      <c r="G299" s="30">
        <v>61</v>
      </c>
      <c r="H299" s="30">
        <v>35</v>
      </c>
      <c r="I299" s="53">
        <v>8.7</v>
      </c>
      <c r="J299" s="49">
        <v>0.3</v>
      </c>
      <c r="K299" s="49">
        <v>0.17</v>
      </c>
      <c r="L299" s="30" t="s">
        <v>508</v>
      </c>
      <c r="M299" s="30" t="s">
        <v>508</v>
      </c>
      <c r="N299" s="30" t="s">
        <v>508</v>
      </c>
      <c r="O299" s="30" t="s">
        <v>508</v>
      </c>
      <c r="P299" s="5"/>
      <c r="Q299" s="5"/>
      <c r="R299" s="5"/>
      <c r="S299" s="5"/>
      <c r="T299" s="5"/>
      <c r="U299" s="5"/>
      <c r="V299" s="2"/>
      <c r="W299" s="2"/>
      <c r="X299" s="2"/>
      <c r="Y299" s="2"/>
      <c r="Z299" s="2"/>
      <c r="AA299" s="2"/>
      <c r="AB299" s="2"/>
      <c r="AC299" s="2"/>
      <c r="AD299" s="2"/>
    </row>
    <row r="300" spans="1:30" ht="12.75">
      <c r="A300" s="30" t="s">
        <v>188</v>
      </c>
      <c r="B300" s="30">
        <v>1400</v>
      </c>
      <c r="C300" s="30">
        <v>980</v>
      </c>
      <c r="D300" s="49">
        <v>3.38</v>
      </c>
      <c r="E300" s="30">
        <v>24.2</v>
      </c>
      <c r="F300" s="30">
        <v>70</v>
      </c>
      <c r="G300" s="30">
        <v>76</v>
      </c>
      <c r="H300" s="30">
        <v>48</v>
      </c>
      <c r="I300" s="53">
        <v>10.7</v>
      </c>
      <c r="J300" s="49">
        <v>0.39</v>
      </c>
      <c r="K300" s="49">
        <v>0.2</v>
      </c>
      <c r="L300" s="30" t="s">
        <v>508</v>
      </c>
      <c r="M300" s="30" t="s">
        <v>508</v>
      </c>
      <c r="N300" s="30" t="s">
        <v>508</v>
      </c>
      <c r="O300" s="30" t="s">
        <v>508</v>
      </c>
      <c r="P300" s="5"/>
      <c r="Q300" s="5"/>
      <c r="R300" s="5"/>
      <c r="S300" s="5"/>
      <c r="T300" s="5"/>
      <c r="U300" s="5"/>
      <c r="V300" s="2"/>
      <c r="W300" s="2"/>
      <c r="X300" s="2"/>
      <c r="Y300" s="2"/>
      <c r="Z300" s="2"/>
      <c r="AA300" s="2"/>
      <c r="AB300" s="2"/>
      <c r="AC300" s="2"/>
      <c r="AD300" s="2"/>
    </row>
    <row r="301" spans="1:30" ht="12.75">
      <c r="A301" s="30" t="s">
        <v>188</v>
      </c>
      <c r="B301" s="30">
        <v>1400</v>
      </c>
      <c r="C301" s="30">
        <v>980</v>
      </c>
      <c r="D301" s="49">
        <v>4.2</v>
      </c>
      <c r="E301" s="30">
        <v>22.9</v>
      </c>
      <c r="F301" s="30">
        <v>80</v>
      </c>
      <c r="G301" s="30">
        <v>90</v>
      </c>
      <c r="H301" s="30">
        <v>61</v>
      </c>
      <c r="I301" s="53">
        <v>12.6</v>
      </c>
      <c r="J301" s="49">
        <v>0.47</v>
      </c>
      <c r="K301" s="49">
        <v>0.24</v>
      </c>
      <c r="L301" s="30" t="s">
        <v>508</v>
      </c>
      <c r="M301" s="30" t="s">
        <v>508</v>
      </c>
      <c r="N301" s="30" t="s">
        <v>508</v>
      </c>
      <c r="O301" s="30" t="s">
        <v>508</v>
      </c>
      <c r="P301" s="5"/>
      <c r="Q301" s="5"/>
      <c r="R301" s="5"/>
      <c r="S301" s="5"/>
      <c r="T301" s="5"/>
      <c r="U301" s="5"/>
      <c r="V301" s="2"/>
      <c r="W301" s="2"/>
      <c r="X301" s="2"/>
      <c r="Y301" s="2"/>
      <c r="Z301" s="2"/>
      <c r="AA301" s="2"/>
      <c r="AB301" s="2"/>
      <c r="AC301" s="2"/>
      <c r="AD301" s="2"/>
    </row>
    <row r="302" spans="1:30" ht="13.5" thickBot="1">
      <c r="A302" s="50" t="s">
        <v>188</v>
      </c>
      <c r="B302" s="50">
        <v>1400</v>
      </c>
      <c r="C302" s="50">
        <v>980</v>
      </c>
      <c r="D302" s="51">
        <v>4.72</v>
      </c>
      <c r="E302" s="50">
        <v>21.1</v>
      </c>
      <c r="F302" s="50">
        <v>90</v>
      </c>
      <c r="G302" s="50">
        <v>104</v>
      </c>
      <c r="H302" s="50">
        <v>72</v>
      </c>
      <c r="I302" s="54">
        <v>14.5</v>
      </c>
      <c r="J302" s="51">
        <v>0.56</v>
      </c>
      <c r="K302" s="51">
        <v>0.28</v>
      </c>
      <c r="L302" s="50" t="s">
        <v>508</v>
      </c>
      <c r="M302" s="50" t="s">
        <v>508</v>
      </c>
      <c r="N302" s="50" t="s">
        <v>508</v>
      </c>
      <c r="O302" s="50" t="s">
        <v>508</v>
      </c>
      <c r="P302" s="5"/>
      <c r="Q302" s="5"/>
      <c r="R302" s="5"/>
      <c r="S302" s="5"/>
      <c r="T302" s="5"/>
      <c r="U302" s="5"/>
      <c r="V302" s="2"/>
      <c r="W302" s="2"/>
      <c r="X302" s="2"/>
      <c r="Y302" s="2"/>
      <c r="Z302" s="2"/>
      <c r="AA302" s="2"/>
      <c r="AB302" s="2"/>
      <c r="AC302" s="2"/>
      <c r="AD302" s="2"/>
    </row>
    <row r="303" spans="1:30" ht="12.75">
      <c r="A303" s="30" t="s">
        <v>188</v>
      </c>
      <c r="B303" s="30">
        <v>1400</v>
      </c>
      <c r="C303" s="30">
        <v>1050</v>
      </c>
      <c r="D303" s="49">
        <v>0.8</v>
      </c>
      <c r="E303" s="30">
        <v>24.7</v>
      </c>
      <c r="F303" s="30">
        <v>50</v>
      </c>
      <c r="G303" s="30">
        <v>45</v>
      </c>
      <c r="H303" s="30">
        <v>20</v>
      </c>
      <c r="I303" s="53">
        <v>6.6</v>
      </c>
      <c r="J303" s="49">
        <v>0.2</v>
      </c>
      <c r="K303" s="49">
        <v>0.13</v>
      </c>
      <c r="L303" s="30" t="s">
        <v>508</v>
      </c>
      <c r="M303" s="30" t="s">
        <v>508</v>
      </c>
      <c r="N303" s="30" t="s">
        <v>508</v>
      </c>
      <c r="O303" s="30" t="s">
        <v>508</v>
      </c>
      <c r="P303" s="5"/>
      <c r="Q303" s="5"/>
      <c r="R303" s="5"/>
      <c r="S303" s="5"/>
      <c r="T303" s="5"/>
      <c r="U303" s="5"/>
      <c r="V303" s="2"/>
      <c r="W303" s="2"/>
      <c r="X303" s="2"/>
      <c r="Y303" s="2"/>
      <c r="Z303" s="2"/>
      <c r="AA303" s="2"/>
      <c r="AB303" s="2"/>
      <c r="AC303" s="2"/>
      <c r="AD303" s="2"/>
    </row>
    <row r="304" spans="1:30" ht="12.75">
      <c r="A304" s="30" t="s">
        <v>188</v>
      </c>
      <c r="B304" s="30">
        <v>1400</v>
      </c>
      <c r="C304" s="30">
        <v>1050</v>
      </c>
      <c r="D304" s="49">
        <v>2.22</v>
      </c>
      <c r="E304" s="30">
        <v>26.1</v>
      </c>
      <c r="F304" s="30">
        <v>60</v>
      </c>
      <c r="G304" s="30">
        <v>61</v>
      </c>
      <c r="H304" s="30">
        <v>35</v>
      </c>
      <c r="I304" s="53">
        <v>8.3</v>
      </c>
      <c r="J304" s="49">
        <v>0.28</v>
      </c>
      <c r="K304" s="49">
        <v>0.16</v>
      </c>
      <c r="L304" s="30" t="s">
        <v>508</v>
      </c>
      <c r="M304" s="30" t="s">
        <v>508</v>
      </c>
      <c r="N304" s="30" t="s">
        <v>508</v>
      </c>
      <c r="O304" s="30" t="s">
        <v>508</v>
      </c>
      <c r="P304" s="5"/>
      <c r="Q304" s="5"/>
      <c r="R304" s="5"/>
      <c r="S304" s="5"/>
      <c r="T304" s="5"/>
      <c r="U304" s="5"/>
      <c r="V304" s="2"/>
      <c r="W304" s="2"/>
      <c r="X304" s="2"/>
      <c r="Y304" s="2"/>
      <c r="Z304" s="2"/>
      <c r="AA304" s="2"/>
      <c r="AB304" s="2"/>
      <c r="AC304" s="2"/>
      <c r="AD304" s="2"/>
    </row>
    <row r="305" spans="1:30" ht="12.75">
      <c r="A305" s="30" t="s">
        <v>188</v>
      </c>
      <c r="B305" s="30">
        <v>1400</v>
      </c>
      <c r="C305" s="30">
        <v>1050</v>
      </c>
      <c r="D305" s="49">
        <v>3.38</v>
      </c>
      <c r="E305" s="30">
        <v>25.5</v>
      </c>
      <c r="F305" s="30">
        <v>70</v>
      </c>
      <c r="G305" s="30">
        <v>76</v>
      </c>
      <c r="H305" s="30">
        <v>48</v>
      </c>
      <c r="I305" s="53">
        <v>10.1</v>
      </c>
      <c r="J305" s="49">
        <v>0.37</v>
      </c>
      <c r="K305" s="49">
        <v>0.2</v>
      </c>
      <c r="L305" s="30" t="s">
        <v>508</v>
      </c>
      <c r="M305" s="30" t="s">
        <v>508</v>
      </c>
      <c r="N305" s="30" t="s">
        <v>508</v>
      </c>
      <c r="O305" s="30" t="s">
        <v>508</v>
      </c>
      <c r="P305" s="5"/>
      <c r="Q305" s="5"/>
      <c r="R305" s="5"/>
      <c r="S305" s="5"/>
      <c r="T305" s="5"/>
      <c r="U305" s="5"/>
      <c r="V305" s="2"/>
      <c r="W305" s="2"/>
      <c r="X305" s="2"/>
      <c r="Y305" s="2"/>
      <c r="Z305" s="2"/>
      <c r="AA305" s="2"/>
      <c r="AB305" s="2"/>
      <c r="AC305" s="2"/>
      <c r="AD305" s="2"/>
    </row>
    <row r="306" spans="1:30" ht="12.75">
      <c r="A306" s="30" t="s">
        <v>188</v>
      </c>
      <c r="B306" s="30">
        <v>1400</v>
      </c>
      <c r="C306" s="30">
        <v>1050</v>
      </c>
      <c r="D306" s="49">
        <v>4.2</v>
      </c>
      <c r="E306" s="30">
        <v>24.1</v>
      </c>
      <c r="F306" s="31">
        <v>80</v>
      </c>
      <c r="G306" s="31">
        <v>90</v>
      </c>
      <c r="H306" s="31">
        <v>61</v>
      </c>
      <c r="I306" s="53">
        <v>11.9</v>
      </c>
      <c r="J306" s="52">
        <v>0.44</v>
      </c>
      <c r="K306" s="52">
        <v>0.23</v>
      </c>
      <c r="L306" s="30" t="s">
        <v>508</v>
      </c>
      <c r="M306" s="30" t="s">
        <v>508</v>
      </c>
      <c r="N306" s="30" t="s">
        <v>508</v>
      </c>
      <c r="O306" s="30" t="s">
        <v>508</v>
      </c>
      <c r="P306" s="5"/>
      <c r="Q306" s="5"/>
      <c r="R306" s="5"/>
      <c r="S306" s="5"/>
      <c r="T306" s="5"/>
      <c r="U306" s="5"/>
      <c r="V306" s="2"/>
      <c r="W306" s="2"/>
      <c r="X306" s="2"/>
      <c r="Y306" s="2"/>
      <c r="Z306" s="2"/>
      <c r="AA306" s="2"/>
      <c r="AB306" s="2"/>
      <c r="AC306" s="2"/>
      <c r="AD306" s="2"/>
    </row>
    <row r="307" spans="1:30" ht="13.5" thickBot="1">
      <c r="A307" s="50" t="s">
        <v>188</v>
      </c>
      <c r="B307" s="50">
        <v>1400</v>
      </c>
      <c r="C307" s="50">
        <v>1050</v>
      </c>
      <c r="D307" s="51">
        <v>4.72</v>
      </c>
      <c r="E307" s="50">
        <v>22.2</v>
      </c>
      <c r="F307" s="50">
        <v>90</v>
      </c>
      <c r="G307" s="50">
        <v>104</v>
      </c>
      <c r="H307" s="50">
        <v>72</v>
      </c>
      <c r="I307" s="54">
        <v>13.6</v>
      </c>
      <c r="J307" s="51">
        <v>0.51</v>
      </c>
      <c r="K307" s="51">
        <v>0.26</v>
      </c>
      <c r="L307" s="50" t="s">
        <v>508</v>
      </c>
      <c r="M307" s="50" t="s">
        <v>508</v>
      </c>
      <c r="N307" s="50" t="s">
        <v>508</v>
      </c>
      <c r="O307" s="50" t="s">
        <v>508</v>
      </c>
      <c r="P307" s="5"/>
      <c r="Q307" s="5"/>
      <c r="R307" s="5"/>
      <c r="S307" s="5"/>
      <c r="T307" s="5"/>
      <c r="U307" s="5"/>
      <c r="V307" s="2"/>
      <c r="W307" s="2"/>
      <c r="X307" s="2"/>
      <c r="Y307" s="2"/>
      <c r="Z307" s="2"/>
      <c r="AA307" s="2"/>
      <c r="AB307" s="2"/>
      <c r="AC307" s="2"/>
      <c r="AD307" s="2"/>
    </row>
    <row r="308" spans="1:30" ht="12.75">
      <c r="A308" s="30" t="s">
        <v>188</v>
      </c>
      <c r="B308" s="30">
        <v>1400</v>
      </c>
      <c r="C308" s="30">
        <v>1120</v>
      </c>
      <c r="D308" s="49">
        <v>0.8</v>
      </c>
      <c r="E308" s="30">
        <v>25.9</v>
      </c>
      <c r="F308" s="30">
        <v>50</v>
      </c>
      <c r="G308" s="30">
        <v>45</v>
      </c>
      <c r="H308" s="30">
        <v>20</v>
      </c>
      <c r="I308" s="53">
        <v>6.5</v>
      </c>
      <c r="J308" s="49">
        <v>0.19</v>
      </c>
      <c r="K308" s="49">
        <v>0.13</v>
      </c>
      <c r="L308" s="30" t="s">
        <v>508</v>
      </c>
      <c r="M308" s="30" t="s">
        <v>508</v>
      </c>
      <c r="N308" s="30" t="s">
        <v>508</v>
      </c>
      <c r="O308" s="30" t="s">
        <v>508</v>
      </c>
      <c r="P308" s="5"/>
      <c r="Q308" s="5"/>
      <c r="R308" s="5"/>
      <c r="S308" s="5"/>
      <c r="T308" s="5"/>
      <c r="U308" s="5"/>
      <c r="V308" s="2"/>
      <c r="W308" s="2"/>
      <c r="X308" s="2"/>
      <c r="Y308" s="2"/>
      <c r="Z308" s="2"/>
      <c r="AA308" s="2"/>
      <c r="AB308" s="2"/>
      <c r="AC308" s="2"/>
      <c r="AD308" s="2"/>
    </row>
    <row r="309" spans="1:30" ht="12.75">
      <c r="A309" s="30" t="s">
        <v>188</v>
      </c>
      <c r="B309" s="30">
        <v>1400</v>
      </c>
      <c r="C309" s="30">
        <v>1120</v>
      </c>
      <c r="D309" s="49">
        <v>2.22</v>
      </c>
      <c r="E309" s="30">
        <v>27.4</v>
      </c>
      <c r="F309" s="30">
        <v>60</v>
      </c>
      <c r="G309" s="30">
        <v>61</v>
      </c>
      <c r="H309" s="30">
        <v>35</v>
      </c>
      <c r="I309" s="53">
        <v>8</v>
      </c>
      <c r="J309" s="49">
        <v>0.27</v>
      </c>
      <c r="K309" s="49">
        <v>0.16</v>
      </c>
      <c r="L309" s="30" t="s">
        <v>508</v>
      </c>
      <c r="M309" s="30" t="s">
        <v>508</v>
      </c>
      <c r="N309" s="30" t="s">
        <v>508</v>
      </c>
      <c r="O309" s="30" t="s">
        <v>508</v>
      </c>
      <c r="P309" s="5"/>
      <c r="Q309" s="5"/>
      <c r="R309" s="5"/>
      <c r="S309" s="5"/>
      <c r="T309" s="5"/>
      <c r="U309" s="5"/>
      <c r="V309" s="2"/>
      <c r="W309" s="2"/>
      <c r="X309" s="2"/>
      <c r="Y309" s="2"/>
      <c r="Z309" s="2"/>
      <c r="AA309" s="2"/>
      <c r="AB309" s="2"/>
      <c r="AC309" s="2"/>
      <c r="AD309" s="2"/>
    </row>
    <row r="310" spans="1:30" ht="12.75">
      <c r="A310" s="30" t="s">
        <v>188</v>
      </c>
      <c r="B310" s="30">
        <v>1400</v>
      </c>
      <c r="C310" s="30">
        <v>1120</v>
      </c>
      <c r="D310" s="49">
        <v>3.38</v>
      </c>
      <c r="E310" s="30">
        <v>26.8</v>
      </c>
      <c r="F310" s="30">
        <v>70</v>
      </c>
      <c r="G310" s="30">
        <v>76</v>
      </c>
      <c r="H310" s="30">
        <v>48</v>
      </c>
      <c r="I310" s="53">
        <v>9.6</v>
      </c>
      <c r="J310" s="49">
        <v>0.34</v>
      </c>
      <c r="K310" s="49">
        <v>0.19</v>
      </c>
      <c r="L310" s="30" t="s">
        <v>508</v>
      </c>
      <c r="M310" s="30" t="s">
        <v>508</v>
      </c>
      <c r="N310" s="30" t="s">
        <v>508</v>
      </c>
      <c r="O310" s="30" t="s">
        <v>508</v>
      </c>
      <c r="P310" s="5"/>
      <c r="Q310" s="5"/>
      <c r="R310" s="5"/>
      <c r="S310" s="5"/>
      <c r="T310" s="5"/>
      <c r="U310" s="5"/>
      <c r="V310" s="2"/>
      <c r="W310" s="2"/>
      <c r="X310" s="2"/>
      <c r="Y310" s="2"/>
      <c r="Z310" s="2"/>
      <c r="AA310" s="2"/>
      <c r="AB310" s="2"/>
      <c r="AC310" s="2"/>
      <c r="AD310" s="2"/>
    </row>
    <row r="311" spans="1:30" ht="12.75">
      <c r="A311" s="30" t="s">
        <v>188</v>
      </c>
      <c r="B311" s="30">
        <v>1400</v>
      </c>
      <c r="C311" s="30">
        <v>1120</v>
      </c>
      <c r="D311" s="49">
        <v>4.2</v>
      </c>
      <c r="E311" s="30">
        <v>25.3</v>
      </c>
      <c r="F311" s="31">
        <v>80</v>
      </c>
      <c r="G311" s="31">
        <v>90</v>
      </c>
      <c r="H311" s="31">
        <v>61</v>
      </c>
      <c r="I311" s="55">
        <v>11.2</v>
      </c>
      <c r="J311" s="52">
        <v>0.41</v>
      </c>
      <c r="K311" s="52">
        <v>0.22</v>
      </c>
      <c r="L311" s="30" t="s">
        <v>508</v>
      </c>
      <c r="M311" s="30" t="s">
        <v>508</v>
      </c>
      <c r="N311" s="30" t="s">
        <v>508</v>
      </c>
      <c r="O311" s="30" t="s">
        <v>508</v>
      </c>
      <c r="P311" s="5"/>
      <c r="Q311" s="5"/>
      <c r="R311" s="5"/>
      <c r="S311" s="5"/>
      <c r="T311" s="5"/>
      <c r="U311" s="5"/>
      <c r="V311" s="2"/>
      <c r="W311" s="2"/>
      <c r="X311" s="2"/>
      <c r="Y311" s="2"/>
      <c r="Z311" s="2"/>
      <c r="AA311" s="2"/>
      <c r="AB311" s="2"/>
      <c r="AC311" s="2"/>
      <c r="AD311" s="2"/>
    </row>
    <row r="312" spans="1:30" ht="13.5" thickBot="1">
      <c r="A312" s="50" t="s">
        <v>188</v>
      </c>
      <c r="B312" s="50">
        <v>1400</v>
      </c>
      <c r="C312" s="50">
        <v>1120</v>
      </c>
      <c r="D312" s="51">
        <v>4.72</v>
      </c>
      <c r="E312" s="50">
        <v>23.3</v>
      </c>
      <c r="F312" s="50">
        <v>90</v>
      </c>
      <c r="G312" s="50">
        <v>104</v>
      </c>
      <c r="H312" s="50">
        <v>72</v>
      </c>
      <c r="I312" s="54">
        <v>12.8</v>
      </c>
      <c r="J312" s="51">
        <v>0.48</v>
      </c>
      <c r="K312" s="51">
        <v>0.25</v>
      </c>
      <c r="L312" s="50" t="s">
        <v>508</v>
      </c>
      <c r="M312" s="50" t="s">
        <v>508</v>
      </c>
      <c r="N312" s="50" t="s">
        <v>508</v>
      </c>
      <c r="O312" s="50" t="s">
        <v>508</v>
      </c>
      <c r="P312" s="5"/>
      <c r="Q312" s="5"/>
      <c r="R312" s="5"/>
      <c r="S312" s="5"/>
      <c r="T312" s="5"/>
      <c r="U312" s="5"/>
      <c r="V312" s="2"/>
      <c r="W312" s="2"/>
      <c r="X312" s="2"/>
      <c r="Y312" s="2"/>
      <c r="Z312" s="2"/>
      <c r="AA312" s="2"/>
      <c r="AB312" s="2"/>
      <c r="AC312" s="2"/>
      <c r="AD312" s="2"/>
    </row>
    <row r="313" spans="1:30" ht="12.75">
      <c r="A313" s="5"/>
      <c r="B313" s="30"/>
      <c r="C313" s="30"/>
      <c r="D313" s="30"/>
      <c r="E313" s="30"/>
      <c r="F313" s="30"/>
      <c r="G313" s="30"/>
      <c r="H313" s="30"/>
      <c r="I313" s="30"/>
      <c r="J313" s="30"/>
      <c r="K313" s="30"/>
      <c r="L313" s="5"/>
      <c r="M313" s="5"/>
      <c r="N313" s="5"/>
      <c r="O313" s="5"/>
      <c r="P313" s="5"/>
      <c r="Q313" s="5"/>
      <c r="R313" s="5"/>
      <c r="S313" s="5"/>
      <c r="T313" s="5"/>
      <c r="U313" s="5"/>
      <c r="V313" s="2"/>
      <c r="W313" s="2"/>
      <c r="X313" s="2"/>
      <c r="Y313" s="2"/>
      <c r="Z313" s="2"/>
      <c r="AA313" s="2"/>
      <c r="AB313" s="2"/>
      <c r="AC313" s="2"/>
      <c r="AD313" s="2"/>
    </row>
    <row r="314" spans="1:30" ht="12.75">
      <c r="A314" s="5"/>
      <c r="B314" s="30"/>
      <c r="C314" s="30"/>
      <c r="D314" s="30"/>
      <c r="E314" s="30"/>
      <c r="F314" s="30"/>
      <c r="G314" s="30"/>
      <c r="H314" s="30"/>
      <c r="I314" s="30"/>
      <c r="J314" s="30"/>
      <c r="K314" s="30"/>
      <c r="L314" s="5"/>
      <c r="M314" s="5"/>
      <c r="N314" s="5"/>
      <c r="O314" s="5"/>
      <c r="P314" s="5"/>
      <c r="Q314" s="5"/>
      <c r="R314" s="5"/>
      <c r="S314" s="5"/>
      <c r="T314" s="5"/>
      <c r="U314" s="5"/>
      <c r="V314" s="2"/>
      <c r="W314" s="2"/>
      <c r="X314" s="2"/>
      <c r="Y314" s="2"/>
      <c r="Z314" s="2"/>
      <c r="AA314" s="2"/>
      <c r="AB314" s="2"/>
      <c r="AC314" s="2"/>
      <c r="AD314" s="2"/>
    </row>
    <row r="315" spans="1:30" ht="12.75">
      <c r="A315" s="5"/>
      <c r="B315" s="30"/>
      <c r="C315" s="30"/>
      <c r="D315" s="30"/>
      <c r="E315" s="30"/>
      <c r="F315" s="30"/>
      <c r="G315" s="30"/>
      <c r="H315" s="30"/>
      <c r="I315" s="30"/>
      <c r="J315" s="30"/>
      <c r="K315" s="30"/>
      <c r="L315" s="5"/>
      <c r="M315" s="5"/>
      <c r="N315" s="5"/>
      <c r="O315" s="5"/>
      <c r="P315" s="5"/>
      <c r="Q315" s="5"/>
      <c r="R315" s="5"/>
      <c r="S315" s="5"/>
      <c r="T315" s="5"/>
      <c r="U315" s="5"/>
      <c r="V315" s="2"/>
      <c r="W315" s="2"/>
      <c r="X315" s="2"/>
      <c r="Y315" s="2"/>
      <c r="Z315" s="2"/>
      <c r="AA315" s="2"/>
      <c r="AB315" s="2"/>
      <c r="AC315" s="2"/>
      <c r="AD315" s="2"/>
    </row>
    <row r="316" spans="1:30" ht="12.75">
      <c r="A316" s="5"/>
      <c r="B316" s="30"/>
      <c r="C316" s="30"/>
      <c r="D316" s="30"/>
      <c r="E316" s="30"/>
      <c r="F316" s="30"/>
      <c r="G316" s="30"/>
      <c r="H316" s="30"/>
      <c r="I316" s="30"/>
      <c r="J316" s="30"/>
      <c r="K316" s="30"/>
      <c r="L316" s="5"/>
      <c r="M316" s="5"/>
      <c r="N316" s="5"/>
      <c r="O316" s="5"/>
      <c r="P316" s="5"/>
      <c r="Q316" s="5"/>
      <c r="R316" s="5"/>
      <c r="S316" s="5"/>
      <c r="T316" s="5"/>
      <c r="U316" s="5"/>
      <c r="V316" s="2"/>
      <c r="W316" s="2"/>
      <c r="X316" s="2"/>
      <c r="Y316" s="2"/>
      <c r="Z316" s="2"/>
      <c r="AA316" s="2"/>
      <c r="AB316" s="2"/>
      <c r="AC316" s="2"/>
      <c r="AD316" s="2"/>
    </row>
    <row r="317" spans="1:30" ht="13.5">
      <c r="A317" s="5"/>
      <c r="B317" s="30"/>
      <c r="C317" s="30"/>
      <c r="D317" s="30"/>
      <c r="E317" s="10" t="s">
        <v>304</v>
      </c>
      <c r="F317" s="30"/>
      <c r="G317" s="30"/>
      <c r="H317" s="30"/>
      <c r="I317" s="30"/>
      <c r="J317" s="30"/>
      <c r="K317" s="30"/>
      <c r="L317" s="5"/>
      <c r="M317" s="5"/>
      <c r="N317" s="5"/>
      <c r="O317" s="5"/>
      <c r="P317" s="5"/>
      <c r="Q317" s="5"/>
      <c r="R317" s="5"/>
      <c r="S317" s="5"/>
      <c r="T317" s="5"/>
      <c r="U317" s="5"/>
      <c r="V317" s="2"/>
      <c r="W317" s="2"/>
      <c r="X317" s="2"/>
      <c r="Y317" s="2"/>
      <c r="Z317" s="2"/>
      <c r="AA317" s="2"/>
      <c r="AB317" s="2"/>
      <c r="AC317" s="2"/>
      <c r="AD317" s="2"/>
    </row>
    <row r="318" spans="1:30" ht="13.5">
      <c r="A318" s="5"/>
      <c r="B318" s="30"/>
      <c r="C318" s="30"/>
      <c r="D318" s="30"/>
      <c r="E318" s="10" t="s">
        <v>305</v>
      </c>
      <c r="F318" s="30"/>
      <c r="G318" s="30"/>
      <c r="H318" s="30"/>
      <c r="I318" s="30"/>
      <c r="J318" s="30"/>
      <c r="K318" s="30"/>
      <c r="L318" s="5"/>
      <c r="M318" s="5"/>
      <c r="N318" s="5"/>
      <c r="O318" s="5"/>
      <c r="P318" s="5"/>
      <c r="Q318" s="5"/>
      <c r="R318" s="5"/>
      <c r="S318" s="5"/>
      <c r="T318" s="5"/>
      <c r="U318" s="5"/>
      <c r="V318" s="2"/>
      <c r="W318" s="2"/>
      <c r="X318" s="2"/>
      <c r="Y318" s="2"/>
      <c r="Z318" s="2"/>
      <c r="AA318" s="2"/>
      <c r="AB318" s="2"/>
      <c r="AC318" s="2"/>
      <c r="AD318" s="2"/>
    </row>
    <row r="319" spans="1:30" ht="12.75">
      <c r="A319" s="5"/>
      <c r="B319" s="30"/>
      <c r="C319" s="30"/>
      <c r="D319" s="30"/>
      <c r="E319" s="5"/>
      <c r="F319" s="30"/>
      <c r="G319" s="30"/>
      <c r="H319" s="30"/>
      <c r="I319" s="30"/>
      <c r="J319" s="30"/>
      <c r="K319" s="30"/>
      <c r="L319" s="5"/>
      <c r="M319" s="5"/>
      <c r="N319" s="5"/>
      <c r="O319" s="5"/>
      <c r="P319" s="5"/>
      <c r="Q319" s="5"/>
      <c r="R319" s="5"/>
      <c r="S319" s="5"/>
      <c r="T319" s="5"/>
      <c r="U319" s="5"/>
      <c r="V319" s="2"/>
      <c r="W319" s="2"/>
      <c r="X319" s="2"/>
      <c r="Y319" s="2"/>
      <c r="Z319" s="2"/>
      <c r="AA319" s="2"/>
      <c r="AB319" s="2"/>
      <c r="AC319" s="2"/>
      <c r="AD319" s="2"/>
    </row>
    <row r="320" spans="1:30" ht="13.5">
      <c r="A320" s="5"/>
      <c r="B320" s="30"/>
      <c r="C320" s="30"/>
      <c r="D320" s="30"/>
      <c r="E320" s="10" t="s">
        <v>294</v>
      </c>
      <c r="F320" s="30"/>
      <c r="G320" s="30"/>
      <c r="H320" s="30"/>
      <c r="I320" s="30"/>
      <c r="J320" s="30"/>
      <c r="K320" s="30"/>
      <c r="L320" s="5"/>
      <c r="M320" s="5"/>
      <c r="N320" s="5"/>
      <c r="O320" s="5"/>
      <c r="P320" s="5"/>
      <c r="Q320" s="5"/>
      <c r="R320" s="5"/>
      <c r="S320" s="5"/>
      <c r="T320" s="5"/>
      <c r="U320" s="5"/>
      <c r="V320" s="2"/>
      <c r="W320" s="2"/>
      <c r="X320" s="2"/>
      <c r="Y320" s="2"/>
      <c r="Z320" s="2"/>
      <c r="AA320" s="2"/>
      <c r="AB320" s="2"/>
      <c r="AC320" s="2"/>
      <c r="AD320" s="2"/>
    </row>
    <row r="321" spans="1:30" ht="13.5">
      <c r="A321" s="5"/>
      <c r="B321" s="30"/>
      <c r="C321" s="30"/>
      <c r="D321" s="30"/>
      <c r="E321" s="10" t="s">
        <v>295</v>
      </c>
      <c r="F321" s="30"/>
      <c r="G321" s="30"/>
      <c r="H321" s="30"/>
      <c r="I321" s="30"/>
      <c r="J321" s="30"/>
      <c r="K321" s="30"/>
      <c r="L321" s="5"/>
      <c r="M321" s="5"/>
      <c r="N321" s="5"/>
      <c r="O321" s="5"/>
      <c r="P321" s="5"/>
      <c r="Q321" s="5"/>
      <c r="R321" s="5"/>
      <c r="S321" s="5"/>
      <c r="T321" s="5"/>
      <c r="U321" s="5"/>
      <c r="V321" s="2"/>
      <c r="W321" s="2"/>
      <c r="X321" s="2"/>
      <c r="Y321" s="2"/>
      <c r="Z321" s="2"/>
      <c r="AA321" s="2"/>
      <c r="AB321" s="2"/>
      <c r="AC321" s="2"/>
      <c r="AD321" s="2"/>
    </row>
    <row r="322" spans="1:30" ht="12.75">
      <c r="A322" s="5"/>
      <c r="B322" s="30"/>
      <c r="C322" s="30"/>
      <c r="D322" s="30"/>
      <c r="E322" s="30"/>
      <c r="F322" s="30"/>
      <c r="G322" s="30"/>
      <c r="H322" s="30"/>
      <c r="I322" s="30"/>
      <c r="J322" s="30"/>
      <c r="K322" s="30"/>
      <c r="L322" s="5"/>
      <c r="M322" s="5"/>
      <c r="N322" s="5"/>
      <c r="O322" s="5"/>
      <c r="P322" s="5"/>
      <c r="Q322" s="5"/>
      <c r="R322" s="5"/>
      <c r="S322" s="5"/>
      <c r="T322" s="5"/>
      <c r="U322" s="5"/>
      <c r="V322" s="2"/>
      <c r="W322" s="2"/>
      <c r="X322" s="2"/>
      <c r="Y322" s="2"/>
      <c r="Z322" s="2"/>
      <c r="AA322" s="2"/>
      <c r="AB322" s="2"/>
      <c r="AC322" s="2"/>
      <c r="AD322" s="2"/>
    </row>
    <row r="323" spans="1:30" ht="12.75">
      <c r="A323" s="5"/>
      <c r="B323" s="30"/>
      <c r="C323" s="30"/>
      <c r="D323" s="30"/>
      <c r="E323" s="30"/>
      <c r="F323" s="30"/>
      <c r="G323" s="30"/>
      <c r="H323" s="30"/>
      <c r="I323" s="30"/>
      <c r="J323" s="30"/>
      <c r="K323" s="30"/>
      <c r="L323" s="5"/>
      <c r="M323" s="5"/>
      <c r="N323" s="5"/>
      <c r="O323" s="5"/>
      <c r="P323" s="5"/>
      <c r="Q323" s="5"/>
      <c r="R323" s="5"/>
      <c r="S323" s="5"/>
      <c r="T323" s="5"/>
      <c r="U323" s="5"/>
      <c r="V323" s="2"/>
      <c r="W323" s="2"/>
      <c r="X323" s="2"/>
      <c r="Y323" s="2"/>
      <c r="Z323" s="2"/>
      <c r="AA323" s="2"/>
      <c r="AB323" s="2"/>
      <c r="AC323" s="2"/>
      <c r="AD323" s="2"/>
    </row>
    <row r="324" spans="1:30" ht="12.75">
      <c r="A324" s="5"/>
      <c r="B324" s="30"/>
      <c r="C324" s="30"/>
      <c r="D324" s="30"/>
      <c r="E324" s="30"/>
      <c r="F324" s="30"/>
      <c r="G324" s="30"/>
      <c r="H324" s="30"/>
      <c r="I324" s="30"/>
      <c r="J324" s="30"/>
      <c r="K324" s="30"/>
      <c r="L324" s="5"/>
      <c r="M324" s="5"/>
      <c r="N324" s="5"/>
      <c r="O324" s="5"/>
      <c r="P324" s="5"/>
      <c r="Q324" s="5"/>
      <c r="R324" s="5"/>
      <c r="S324" s="5"/>
      <c r="T324" s="5"/>
      <c r="U324" s="5"/>
      <c r="V324" s="2"/>
      <c r="W324" s="2"/>
      <c r="X324" s="2"/>
      <c r="Y324" s="2"/>
      <c r="Z324" s="2"/>
      <c r="AA324" s="2"/>
      <c r="AB324" s="2"/>
      <c r="AC324" s="2"/>
      <c r="AD324" s="2"/>
    </row>
    <row r="325" spans="1:30" ht="12.75">
      <c r="A325" s="5"/>
      <c r="B325" s="30"/>
      <c r="C325" s="30"/>
      <c r="D325" s="30"/>
      <c r="E325" s="30"/>
      <c r="F325" s="30"/>
      <c r="G325" s="30"/>
      <c r="H325" s="30"/>
      <c r="I325" s="30"/>
      <c r="J325" s="30"/>
      <c r="K325" s="30"/>
      <c r="L325" s="5"/>
      <c r="M325" s="5"/>
      <c r="N325" s="5"/>
      <c r="O325" s="5"/>
      <c r="P325" s="5"/>
      <c r="Q325" s="5"/>
      <c r="R325" s="5"/>
      <c r="S325" s="5"/>
      <c r="T325" s="5"/>
      <c r="U325" s="5"/>
      <c r="V325" s="2"/>
      <c r="W325" s="2"/>
      <c r="X325" s="2"/>
      <c r="Y325" s="2"/>
      <c r="Z325" s="2"/>
      <c r="AA325" s="2"/>
      <c r="AB325" s="2"/>
      <c r="AC325" s="2"/>
      <c r="AD325" s="2"/>
    </row>
    <row r="326" spans="1:30" ht="12.75">
      <c r="A326" s="5"/>
      <c r="B326" s="30"/>
      <c r="C326" s="30"/>
      <c r="D326" s="30"/>
      <c r="E326" s="30"/>
      <c r="F326" s="30"/>
      <c r="G326" s="30"/>
      <c r="H326" s="30"/>
      <c r="I326" s="30"/>
      <c r="J326" s="30"/>
      <c r="K326" s="30"/>
      <c r="L326" s="5"/>
      <c r="M326" s="5"/>
      <c r="N326" s="5"/>
      <c r="O326" s="5"/>
      <c r="P326" s="5"/>
      <c r="Q326" s="5"/>
      <c r="R326" s="5"/>
      <c r="S326" s="5"/>
      <c r="T326" s="5"/>
      <c r="U326" s="5"/>
      <c r="V326" s="2"/>
      <c r="W326" s="2"/>
      <c r="X326" s="2"/>
      <c r="Y326" s="2"/>
      <c r="Z326" s="2"/>
      <c r="AA326" s="2"/>
      <c r="AB326" s="2"/>
      <c r="AC326" s="2"/>
      <c r="AD326" s="2"/>
    </row>
    <row r="327" spans="1:30" ht="12.75">
      <c r="A327" s="5"/>
      <c r="B327" s="30"/>
      <c r="C327" s="30"/>
      <c r="D327" s="30"/>
      <c r="E327" s="30"/>
      <c r="F327" s="30"/>
      <c r="G327" s="30"/>
      <c r="H327" s="30"/>
      <c r="I327" s="30"/>
      <c r="J327" s="30"/>
      <c r="K327" s="30"/>
      <c r="L327" s="5"/>
      <c r="M327" s="5"/>
      <c r="N327" s="5"/>
      <c r="O327" s="5"/>
      <c r="P327" s="5"/>
      <c r="Q327" s="5"/>
      <c r="R327" s="5"/>
      <c r="S327" s="5"/>
      <c r="T327" s="5"/>
      <c r="U327" s="5"/>
      <c r="V327" s="2"/>
      <c r="W327" s="2"/>
      <c r="X327" s="2"/>
      <c r="Y327" s="2"/>
      <c r="Z327" s="2"/>
      <c r="AA327" s="2"/>
      <c r="AB327" s="2"/>
      <c r="AC327" s="2"/>
      <c r="AD327" s="2"/>
    </row>
    <row r="328" spans="1:30" ht="12.75">
      <c r="A328" s="5"/>
      <c r="B328" s="30"/>
      <c r="C328" s="30"/>
      <c r="D328" s="30"/>
      <c r="E328" s="30"/>
      <c r="F328" s="30"/>
      <c r="G328" s="30"/>
      <c r="H328" s="30"/>
      <c r="I328" s="30"/>
      <c r="J328" s="30"/>
      <c r="K328" s="30"/>
      <c r="L328" s="5"/>
      <c r="M328" s="5"/>
      <c r="N328" s="5"/>
      <c r="O328" s="5"/>
      <c r="P328" s="5"/>
      <c r="Q328" s="5"/>
      <c r="R328" s="5"/>
      <c r="S328" s="5"/>
      <c r="T328" s="5"/>
      <c r="U328" s="5"/>
      <c r="V328" s="2"/>
      <c r="W328" s="2"/>
      <c r="X328" s="2"/>
      <c r="Y328" s="2"/>
      <c r="Z328" s="2"/>
      <c r="AA328" s="2"/>
      <c r="AB328" s="2"/>
      <c r="AC328" s="2"/>
      <c r="AD328" s="2"/>
    </row>
    <row r="329" spans="1:30" ht="12.75">
      <c r="A329" s="5"/>
      <c r="B329" s="30"/>
      <c r="C329" s="30"/>
      <c r="D329" s="30"/>
      <c r="E329" s="30"/>
      <c r="F329" s="30"/>
      <c r="G329" s="30"/>
      <c r="H329" s="30"/>
      <c r="I329" s="30"/>
      <c r="J329" s="30"/>
      <c r="K329" s="30"/>
      <c r="L329" s="5"/>
      <c r="M329" s="5"/>
      <c r="N329" s="5"/>
      <c r="O329" s="5"/>
      <c r="P329" s="5"/>
      <c r="Q329" s="5"/>
      <c r="R329" s="5"/>
      <c r="S329" s="5"/>
      <c r="T329" s="5"/>
      <c r="U329" s="5"/>
      <c r="V329" s="2"/>
      <c r="W329" s="2"/>
      <c r="X329" s="2"/>
      <c r="Y329" s="2"/>
      <c r="Z329" s="2"/>
      <c r="AA329" s="2"/>
      <c r="AB329" s="2"/>
      <c r="AC329" s="2"/>
      <c r="AD329" s="2"/>
    </row>
    <row r="330" spans="1:30" ht="12.75">
      <c r="A330" s="5"/>
      <c r="B330" s="30"/>
      <c r="C330" s="30"/>
      <c r="D330" s="30"/>
      <c r="E330" s="30"/>
      <c r="F330" s="30"/>
      <c r="G330" s="30"/>
      <c r="H330" s="30"/>
      <c r="I330" s="30"/>
      <c r="J330" s="30"/>
      <c r="K330" s="30"/>
      <c r="L330" s="5"/>
      <c r="M330" s="5"/>
      <c r="N330" s="5"/>
      <c r="O330" s="5"/>
      <c r="P330" s="5"/>
      <c r="Q330" s="5"/>
      <c r="R330" s="5"/>
      <c r="S330" s="5"/>
      <c r="T330" s="5"/>
      <c r="U330" s="5"/>
      <c r="V330" s="2"/>
      <c r="W330" s="2"/>
      <c r="X330" s="2"/>
      <c r="Y330" s="2"/>
      <c r="Z330" s="2"/>
      <c r="AA330" s="2"/>
      <c r="AB330" s="2"/>
      <c r="AC330" s="2"/>
      <c r="AD330" s="2"/>
    </row>
    <row r="331" spans="1:30" ht="12.75">
      <c r="A331" s="5"/>
      <c r="B331" s="30"/>
      <c r="C331" s="30"/>
      <c r="D331" s="30"/>
      <c r="E331" s="30"/>
      <c r="F331" s="30"/>
      <c r="G331" s="30"/>
      <c r="H331" s="30"/>
      <c r="I331" s="30"/>
      <c r="J331" s="30"/>
      <c r="K331" s="30"/>
      <c r="L331" s="5"/>
      <c r="M331" s="5"/>
      <c r="N331" s="5"/>
      <c r="O331" s="5"/>
      <c r="P331" s="5"/>
      <c r="Q331" s="5"/>
      <c r="R331" s="5"/>
      <c r="S331" s="5"/>
      <c r="T331" s="5"/>
      <c r="U331" s="5"/>
      <c r="V331" s="2"/>
      <c r="W331" s="2"/>
      <c r="X331" s="2"/>
      <c r="Y331" s="2"/>
      <c r="Z331" s="2"/>
      <c r="AA331" s="2"/>
      <c r="AB331" s="2"/>
      <c r="AC331" s="2"/>
      <c r="AD331" s="2"/>
    </row>
    <row r="332" spans="1:30" ht="12.75">
      <c r="A332" s="5"/>
      <c r="B332" s="30"/>
      <c r="C332" s="30"/>
      <c r="D332" s="30"/>
      <c r="E332" s="30"/>
      <c r="F332" s="30"/>
      <c r="G332" s="30"/>
      <c r="H332" s="30"/>
      <c r="I332" s="30"/>
      <c r="J332" s="30"/>
      <c r="K332" s="30"/>
      <c r="L332" s="5"/>
      <c r="M332" s="5"/>
      <c r="N332" s="5"/>
      <c r="O332" s="5"/>
      <c r="P332" s="5"/>
      <c r="Q332" s="5"/>
      <c r="R332" s="5"/>
      <c r="S332" s="5"/>
      <c r="T332" s="5"/>
      <c r="U332" s="5"/>
      <c r="V332" s="2"/>
      <c r="W332" s="2"/>
      <c r="X332" s="2"/>
      <c r="Y332" s="2"/>
      <c r="Z332" s="2"/>
      <c r="AA332" s="2"/>
      <c r="AB332" s="2"/>
      <c r="AC332" s="2"/>
      <c r="AD332" s="2"/>
    </row>
    <row r="333" spans="1:30" ht="12.75">
      <c r="A333" s="5"/>
      <c r="B333" s="30"/>
      <c r="C333" s="30"/>
      <c r="D333" s="30"/>
      <c r="E333" s="30"/>
      <c r="F333" s="30"/>
      <c r="G333" s="30"/>
      <c r="H333" s="30"/>
      <c r="I333" s="30"/>
      <c r="J333" s="30"/>
      <c r="K333" s="30"/>
      <c r="L333" s="5"/>
      <c r="M333" s="5"/>
      <c r="N333" s="5"/>
      <c r="O333" s="5"/>
      <c r="P333" s="5"/>
      <c r="Q333" s="5"/>
      <c r="R333" s="5"/>
      <c r="S333" s="5"/>
      <c r="T333" s="5"/>
      <c r="U333" s="5"/>
      <c r="V333" s="2"/>
      <c r="W333" s="2"/>
      <c r="X333" s="2"/>
      <c r="Y333" s="2"/>
      <c r="Z333" s="2"/>
      <c r="AA333" s="2"/>
      <c r="AB333" s="2"/>
      <c r="AC333" s="2"/>
      <c r="AD333" s="2"/>
    </row>
    <row r="334" spans="1:30" ht="12.75">
      <c r="A334" s="5"/>
      <c r="B334" s="30"/>
      <c r="C334" s="30"/>
      <c r="D334" s="30"/>
      <c r="E334" s="30"/>
      <c r="F334" s="30"/>
      <c r="G334" s="30"/>
      <c r="H334" s="30"/>
      <c r="I334" s="30"/>
      <c r="J334" s="30"/>
      <c r="K334" s="30"/>
      <c r="L334" s="5"/>
      <c r="M334" s="5"/>
      <c r="N334" s="5"/>
      <c r="O334" s="5"/>
      <c r="P334" s="5"/>
      <c r="Q334" s="5"/>
      <c r="R334" s="5"/>
      <c r="S334" s="5"/>
      <c r="T334" s="5"/>
      <c r="U334" s="5"/>
      <c r="V334" s="2"/>
      <c r="W334" s="2"/>
      <c r="X334" s="2"/>
      <c r="Y334" s="2"/>
      <c r="Z334" s="2"/>
      <c r="AA334" s="2"/>
      <c r="AB334" s="2"/>
      <c r="AC334" s="2"/>
      <c r="AD334" s="2"/>
    </row>
    <row r="335" spans="1:30" ht="12.75">
      <c r="A335" s="5"/>
      <c r="B335" s="30"/>
      <c r="C335" s="30"/>
      <c r="D335" s="30"/>
      <c r="E335" s="30"/>
      <c r="F335" s="30"/>
      <c r="G335" s="30"/>
      <c r="H335" s="30"/>
      <c r="I335" s="30"/>
      <c r="J335" s="30"/>
      <c r="K335" s="30"/>
      <c r="L335" s="5"/>
      <c r="M335" s="5"/>
      <c r="N335" s="5"/>
      <c r="O335" s="5"/>
      <c r="P335" s="5"/>
      <c r="Q335" s="5"/>
      <c r="R335" s="5"/>
      <c r="S335" s="5"/>
      <c r="T335" s="5"/>
      <c r="U335" s="5"/>
      <c r="V335" s="2"/>
      <c r="W335" s="2"/>
      <c r="X335" s="2"/>
      <c r="Y335" s="2"/>
      <c r="Z335" s="2"/>
      <c r="AA335" s="2"/>
      <c r="AB335" s="2"/>
      <c r="AC335" s="2"/>
      <c r="AD335" s="2"/>
    </row>
    <row r="336" spans="1:30" ht="12.75">
      <c r="A336" s="5"/>
      <c r="B336" s="30"/>
      <c r="C336" s="30"/>
      <c r="D336" s="30"/>
      <c r="E336" s="30"/>
      <c r="F336" s="30"/>
      <c r="G336" s="30"/>
      <c r="H336" s="30"/>
      <c r="I336" s="30"/>
      <c r="J336" s="30"/>
      <c r="K336" s="30"/>
      <c r="L336" s="5"/>
      <c r="M336" s="5"/>
      <c r="N336" s="5"/>
      <c r="O336" s="5"/>
      <c r="P336" s="5"/>
      <c r="Q336" s="5"/>
      <c r="R336" s="5"/>
      <c r="S336" s="5"/>
      <c r="T336" s="5"/>
      <c r="U336" s="5"/>
      <c r="V336" s="2"/>
      <c r="W336" s="2"/>
      <c r="X336" s="2"/>
      <c r="Y336" s="2"/>
      <c r="Z336" s="2"/>
      <c r="AA336" s="2"/>
      <c r="AB336" s="2"/>
      <c r="AC336" s="2"/>
      <c r="AD336" s="2"/>
    </row>
    <row r="337" spans="1:30" ht="12.75">
      <c r="A337" s="2"/>
      <c r="B337" s="56"/>
      <c r="C337" s="56"/>
      <c r="D337" s="56"/>
      <c r="E337" s="56"/>
      <c r="F337" s="56"/>
      <c r="G337" s="56"/>
      <c r="H337" s="56"/>
      <c r="I337" s="56"/>
      <c r="J337" s="56"/>
      <c r="K337" s="56"/>
      <c r="L337" s="2"/>
      <c r="M337" s="2"/>
      <c r="N337" s="2"/>
      <c r="O337" s="2"/>
      <c r="P337" s="2"/>
      <c r="Q337" s="2"/>
      <c r="R337" s="2"/>
      <c r="S337" s="2"/>
      <c r="T337" s="2"/>
      <c r="U337" s="2"/>
      <c r="V337" s="2"/>
      <c r="W337" s="2"/>
      <c r="X337" s="2"/>
      <c r="Y337" s="2"/>
      <c r="Z337" s="2"/>
      <c r="AA337" s="2"/>
      <c r="AB337" s="2"/>
      <c r="AC337" s="2"/>
      <c r="AD337" s="2"/>
    </row>
    <row r="338" spans="1:30" ht="12.75">
      <c r="A338" s="2"/>
      <c r="B338" s="56"/>
      <c r="C338" s="56"/>
      <c r="D338" s="56"/>
      <c r="E338" s="56"/>
      <c r="F338" s="56"/>
      <c r="G338" s="56"/>
      <c r="H338" s="56"/>
      <c r="I338" s="56"/>
      <c r="J338" s="56"/>
      <c r="K338" s="56"/>
      <c r="L338" s="2"/>
      <c r="M338" s="2"/>
      <c r="N338" s="2"/>
      <c r="O338" s="2"/>
      <c r="P338" s="2"/>
      <c r="Q338" s="2"/>
      <c r="R338" s="2"/>
      <c r="S338" s="2"/>
      <c r="T338" s="2"/>
      <c r="U338" s="2"/>
      <c r="V338" s="2"/>
      <c r="W338" s="2"/>
      <c r="X338" s="2"/>
      <c r="Y338" s="2"/>
      <c r="Z338" s="2"/>
      <c r="AA338" s="2"/>
      <c r="AB338" s="2"/>
      <c r="AC338" s="2"/>
      <c r="AD338" s="2"/>
    </row>
    <row r="339" spans="1:30" ht="12.75">
      <c r="A339" s="2"/>
      <c r="B339" s="56"/>
      <c r="C339" s="56"/>
      <c r="D339" s="56"/>
      <c r="E339" s="56"/>
      <c r="F339" s="56"/>
      <c r="G339" s="56"/>
      <c r="H339" s="56"/>
      <c r="I339" s="56"/>
      <c r="J339" s="56"/>
      <c r="K339" s="56"/>
      <c r="L339" s="2"/>
      <c r="M339" s="2"/>
      <c r="N339" s="2"/>
      <c r="O339" s="2"/>
      <c r="P339" s="2"/>
      <c r="Q339" s="2"/>
      <c r="R339" s="2"/>
      <c r="S339" s="2"/>
      <c r="T339" s="2"/>
      <c r="U339" s="2"/>
      <c r="V339" s="2"/>
      <c r="W339" s="2"/>
      <c r="X339" s="2"/>
      <c r="Y339" s="2"/>
      <c r="Z339" s="2"/>
      <c r="AA339" s="2"/>
      <c r="AB339" s="2"/>
      <c r="AC339" s="2"/>
      <c r="AD339" s="2"/>
    </row>
    <row r="340" spans="1:30" ht="12.75">
      <c r="A340" s="2"/>
      <c r="B340" s="56"/>
      <c r="C340" s="56"/>
      <c r="D340" s="56"/>
      <c r="E340" s="56"/>
      <c r="F340" s="56"/>
      <c r="G340" s="56"/>
      <c r="H340" s="56"/>
      <c r="I340" s="56"/>
      <c r="J340" s="56"/>
      <c r="K340" s="56"/>
      <c r="L340" s="2"/>
      <c r="M340" s="2"/>
      <c r="N340" s="2"/>
      <c r="O340" s="2"/>
      <c r="P340" s="2"/>
      <c r="Q340" s="2"/>
      <c r="R340" s="2"/>
      <c r="S340" s="2"/>
      <c r="T340" s="2"/>
      <c r="U340" s="2"/>
      <c r="V340" s="2"/>
      <c r="W340" s="2"/>
      <c r="X340" s="2"/>
      <c r="Y340" s="2"/>
      <c r="Z340" s="2"/>
      <c r="AA340" s="2"/>
      <c r="AB340" s="2"/>
      <c r="AC340" s="2"/>
      <c r="AD340" s="2"/>
    </row>
    <row r="341" spans="1:30" ht="12.75">
      <c r="A341" s="2"/>
      <c r="B341" s="56"/>
      <c r="C341" s="56"/>
      <c r="D341" s="56"/>
      <c r="E341" s="56"/>
      <c r="F341" s="56"/>
      <c r="G341" s="56"/>
      <c r="H341" s="56"/>
      <c r="I341" s="56"/>
      <c r="J341" s="56"/>
      <c r="K341" s="56"/>
      <c r="L341" s="2"/>
      <c r="M341" s="2"/>
      <c r="N341" s="2"/>
      <c r="O341" s="2"/>
      <c r="P341" s="2"/>
      <c r="Q341" s="2"/>
      <c r="R341" s="2"/>
      <c r="S341" s="2"/>
      <c r="T341" s="2"/>
      <c r="U341" s="2"/>
      <c r="V341" s="2"/>
      <c r="W341" s="2"/>
      <c r="X341" s="2"/>
      <c r="Y341" s="2"/>
      <c r="Z341" s="2"/>
      <c r="AA341" s="2"/>
      <c r="AB341" s="2"/>
      <c r="AC341" s="2"/>
      <c r="AD341" s="2"/>
    </row>
    <row r="342" spans="1:30" ht="12.75">
      <c r="A342" s="2"/>
      <c r="B342" s="56"/>
      <c r="C342" s="56"/>
      <c r="D342" s="56"/>
      <c r="E342" s="56"/>
      <c r="F342" s="56"/>
      <c r="G342" s="56"/>
      <c r="H342" s="56"/>
      <c r="I342" s="56"/>
      <c r="J342" s="56"/>
      <c r="K342" s="56"/>
      <c r="L342" s="2"/>
      <c r="M342" s="2"/>
      <c r="N342" s="2"/>
      <c r="O342" s="2"/>
      <c r="P342" s="2"/>
      <c r="Q342" s="2"/>
      <c r="R342" s="2"/>
      <c r="S342" s="2"/>
      <c r="T342" s="2"/>
      <c r="U342" s="2"/>
      <c r="V342" s="2"/>
      <c r="W342" s="2"/>
      <c r="X342" s="2"/>
      <c r="Y342" s="2"/>
      <c r="Z342" s="2"/>
      <c r="AA342" s="2"/>
      <c r="AB342" s="2"/>
      <c r="AC342" s="2"/>
      <c r="AD342" s="2"/>
    </row>
    <row r="343" spans="1:30" ht="12.75">
      <c r="A343" s="2"/>
      <c r="B343" s="56"/>
      <c r="C343" s="56"/>
      <c r="D343" s="56"/>
      <c r="E343" s="56"/>
      <c r="F343" s="56"/>
      <c r="G343" s="56"/>
      <c r="H343" s="56"/>
      <c r="I343" s="56"/>
      <c r="J343" s="56"/>
      <c r="K343" s="56"/>
      <c r="L343" s="2"/>
      <c r="M343" s="2"/>
      <c r="N343" s="2"/>
      <c r="O343" s="2"/>
      <c r="P343" s="2"/>
      <c r="Q343" s="2"/>
      <c r="R343" s="2"/>
      <c r="S343" s="2"/>
      <c r="T343" s="2"/>
      <c r="U343" s="2"/>
      <c r="V343" s="2"/>
      <c r="W343" s="2"/>
      <c r="X343" s="2"/>
      <c r="Y343" s="2"/>
      <c r="Z343" s="2"/>
      <c r="AA343" s="2"/>
      <c r="AB343" s="2"/>
      <c r="AC343" s="2"/>
      <c r="AD343" s="2"/>
    </row>
    <row r="344" spans="1:30" ht="12.75">
      <c r="A344" s="2"/>
      <c r="B344" s="56"/>
      <c r="C344" s="56"/>
      <c r="D344" s="56"/>
      <c r="E344" s="56"/>
      <c r="F344" s="56"/>
      <c r="G344" s="56"/>
      <c r="H344" s="56"/>
      <c r="I344" s="56"/>
      <c r="J344" s="56"/>
      <c r="K344" s="56"/>
      <c r="L344" s="2"/>
      <c r="M344" s="2"/>
      <c r="N344" s="2"/>
      <c r="O344" s="2"/>
      <c r="P344" s="2"/>
      <c r="Q344" s="2"/>
      <c r="R344" s="2"/>
      <c r="S344" s="2"/>
      <c r="T344" s="2"/>
      <c r="U344" s="2"/>
      <c r="V344" s="2"/>
      <c r="W344" s="2"/>
      <c r="X344" s="2"/>
      <c r="Y344" s="2"/>
      <c r="Z344" s="2"/>
      <c r="AA344" s="2"/>
      <c r="AB344" s="2"/>
      <c r="AC344" s="2"/>
      <c r="AD344" s="2"/>
    </row>
    <row r="345" spans="1:30" ht="12.75">
      <c r="A345" s="2"/>
      <c r="B345" s="56"/>
      <c r="C345" s="56"/>
      <c r="D345" s="56"/>
      <c r="E345" s="56"/>
      <c r="F345" s="56"/>
      <c r="G345" s="56"/>
      <c r="H345" s="56"/>
      <c r="I345" s="56"/>
      <c r="J345" s="56"/>
      <c r="K345" s="56"/>
      <c r="L345" s="2"/>
      <c r="M345" s="2"/>
      <c r="N345" s="2"/>
      <c r="O345" s="2"/>
      <c r="P345" s="2"/>
      <c r="Q345" s="2"/>
      <c r="R345" s="2"/>
      <c r="S345" s="2"/>
      <c r="T345" s="2"/>
      <c r="U345" s="2"/>
      <c r="V345" s="2"/>
      <c r="W345" s="2"/>
      <c r="X345" s="2"/>
      <c r="Y345" s="2"/>
      <c r="Z345" s="2"/>
      <c r="AA345" s="2"/>
      <c r="AB345" s="2"/>
      <c r="AC345" s="2"/>
      <c r="AD345" s="2"/>
    </row>
    <row r="346" spans="1:30" ht="12.75">
      <c r="A346" s="2"/>
      <c r="B346" s="56"/>
      <c r="C346" s="56"/>
      <c r="D346" s="56"/>
      <c r="E346" s="56"/>
      <c r="F346" s="56"/>
      <c r="G346" s="56"/>
      <c r="H346" s="56"/>
      <c r="I346" s="56"/>
      <c r="J346" s="56"/>
      <c r="K346" s="56"/>
      <c r="L346" s="2"/>
      <c r="M346" s="2"/>
      <c r="N346" s="2"/>
      <c r="O346" s="2"/>
      <c r="P346" s="2"/>
      <c r="Q346" s="2"/>
      <c r="R346" s="2"/>
      <c r="S346" s="2"/>
      <c r="T346" s="2"/>
      <c r="U346" s="2"/>
      <c r="V346" s="2"/>
      <c r="W346" s="2"/>
      <c r="X346" s="2"/>
      <c r="Y346" s="2"/>
      <c r="Z346" s="2"/>
      <c r="AA346" s="2"/>
      <c r="AB346" s="2"/>
      <c r="AC346" s="2"/>
      <c r="AD346" s="2"/>
    </row>
    <row r="347" spans="1:30" ht="12.75">
      <c r="A347" s="2"/>
      <c r="B347" s="56"/>
      <c r="C347" s="56"/>
      <c r="D347" s="56"/>
      <c r="E347" s="56"/>
      <c r="F347" s="56"/>
      <c r="G347" s="56"/>
      <c r="H347" s="56"/>
      <c r="I347" s="56"/>
      <c r="J347" s="56"/>
      <c r="K347" s="56"/>
      <c r="L347" s="2"/>
      <c r="M347" s="2"/>
      <c r="N347" s="2"/>
      <c r="O347" s="2"/>
      <c r="P347" s="2"/>
      <c r="Q347" s="2"/>
      <c r="R347" s="2"/>
      <c r="S347" s="2"/>
      <c r="T347" s="2"/>
      <c r="U347" s="2"/>
      <c r="V347" s="2"/>
      <c r="W347" s="2"/>
      <c r="X347" s="2"/>
      <c r="Y347" s="2"/>
      <c r="Z347" s="2"/>
      <c r="AA347" s="2"/>
      <c r="AB347" s="2"/>
      <c r="AC347" s="2"/>
      <c r="AD347" s="2"/>
    </row>
    <row r="348" spans="1:30" ht="12.75">
      <c r="A348" s="2"/>
      <c r="B348" s="56"/>
      <c r="C348" s="56"/>
      <c r="D348" s="56"/>
      <c r="E348" s="56"/>
      <c r="F348" s="56"/>
      <c r="G348" s="56"/>
      <c r="H348" s="56"/>
      <c r="I348" s="56"/>
      <c r="J348" s="56"/>
      <c r="K348" s="56"/>
      <c r="L348" s="2"/>
      <c r="M348" s="2"/>
      <c r="N348" s="2"/>
      <c r="O348" s="2"/>
      <c r="P348" s="2"/>
      <c r="Q348" s="2"/>
      <c r="R348" s="2"/>
      <c r="S348" s="2"/>
      <c r="T348" s="2"/>
      <c r="U348" s="2"/>
      <c r="V348" s="2"/>
      <c r="W348" s="2"/>
      <c r="X348" s="2"/>
      <c r="Y348" s="2"/>
      <c r="Z348" s="2"/>
      <c r="AA348" s="2"/>
      <c r="AB348" s="2"/>
      <c r="AC348" s="2"/>
      <c r="AD348" s="2"/>
    </row>
    <row r="349" spans="1:30" ht="12.75">
      <c r="A349" s="2"/>
      <c r="B349" s="56"/>
      <c r="C349" s="56"/>
      <c r="D349" s="56"/>
      <c r="E349" s="56"/>
      <c r="F349" s="56"/>
      <c r="G349" s="56"/>
      <c r="H349" s="56"/>
      <c r="I349" s="56"/>
      <c r="J349" s="56"/>
      <c r="K349" s="56"/>
      <c r="L349" s="2"/>
      <c r="M349" s="2"/>
      <c r="N349" s="2"/>
      <c r="O349" s="2"/>
      <c r="P349" s="2"/>
      <c r="Q349" s="2"/>
      <c r="R349" s="2"/>
      <c r="S349" s="2"/>
      <c r="T349" s="2"/>
      <c r="U349" s="2"/>
      <c r="V349" s="2"/>
      <c r="W349" s="2"/>
      <c r="X349" s="2"/>
      <c r="Y349" s="2"/>
      <c r="Z349" s="2"/>
      <c r="AA349" s="2"/>
      <c r="AB349" s="2"/>
      <c r="AC349" s="2"/>
      <c r="AD349" s="2"/>
    </row>
    <row r="350" spans="1:30" ht="12.75">
      <c r="A350" s="2"/>
      <c r="B350" s="56"/>
      <c r="C350" s="56"/>
      <c r="D350" s="56"/>
      <c r="E350" s="56"/>
      <c r="F350" s="56"/>
      <c r="G350" s="56"/>
      <c r="H350" s="56"/>
      <c r="I350" s="56"/>
      <c r="J350" s="56"/>
      <c r="K350" s="56"/>
      <c r="L350" s="2"/>
      <c r="M350" s="2"/>
      <c r="N350" s="2"/>
      <c r="O350" s="2"/>
      <c r="P350" s="2"/>
      <c r="Q350" s="2"/>
      <c r="R350" s="2"/>
      <c r="S350" s="2"/>
      <c r="T350" s="2"/>
      <c r="U350" s="2"/>
      <c r="V350" s="2"/>
      <c r="W350" s="2"/>
      <c r="X350" s="2"/>
      <c r="Y350" s="2"/>
      <c r="Z350" s="2"/>
      <c r="AA350" s="2"/>
      <c r="AB350" s="2"/>
      <c r="AC350" s="2"/>
      <c r="AD350" s="2"/>
    </row>
    <row r="351" spans="1:30" ht="12.75">
      <c r="A351" s="2"/>
      <c r="B351" s="56"/>
      <c r="C351" s="56"/>
      <c r="D351" s="56"/>
      <c r="E351" s="56"/>
      <c r="F351" s="56"/>
      <c r="G351" s="56"/>
      <c r="H351" s="56"/>
      <c r="I351" s="56"/>
      <c r="J351" s="56"/>
      <c r="K351" s="56"/>
      <c r="L351" s="2"/>
      <c r="M351" s="2"/>
      <c r="N351" s="2"/>
      <c r="O351" s="2"/>
      <c r="P351" s="2"/>
      <c r="Q351" s="2"/>
      <c r="R351" s="2"/>
      <c r="S351" s="2"/>
      <c r="T351" s="2"/>
      <c r="U351" s="2"/>
      <c r="V351" s="2"/>
      <c r="W351" s="2"/>
      <c r="X351" s="2"/>
      <c r="Y351" s="2"/>
      <c r="Z351" s="2"/>
      <c r="AA351" s="2"/>
      <c r="AB351" s="2"/>
      <c r="AC351" s="2"/>
      <c r="AD351" s="2"/>
    </row>
    <row r="352" spans="1:30" ht="12.75">
      <c r="A352" s="2"/>
      <c r="B352" s="56"/>
      <c r="C352" s="56"/>
      <c r="D352" s="56"/>
      <c r="E352" s="56"/>
      <c r="F352" s="56"/>
      <c r="G352" s="56"/>
      <c r="H352" s="56"/>
      <c r="I352" s="56"/>
      <c r="J352" s="56"/>
      <c r="K352" s="56"/>
      <c r="L352" s="2"/>
      <c r="M352" s="2"/>
      <c r="N352" s="2"/>
      <c r="O352" s="2"/>
      <c r="P352" s="2"/>
      <c r="Q352" s="2"/>
      <c r="R352" s="2"/>
      <c r="S352" s="2"/>
      <c r="T352" s="2"/>
      <c r="U352" s="2"/>
      <c r="V352" s="2"/>
      <c r="W352" s="2"/>
      <c r="X352" s="2"/>
      <c r="Y352" s="2"/>
      <c r="Z352" s="2"/>
      <c r="AA352" s="2"/>
      <c r="AB352" s="2"/>
      <c r="AC352" s="2"/>
      <c r="AD352" s="2"/>
    </row>
    <row r="353" spans="1:30" ht="12.75">
      <c r="A353" s="2"/>
      <c r="B353" s="56"/>
      <c r="C353" s="56"/>
      <c r="D353" s="56"/>
      <c r="E353" s="56"/>
      <c r="F353" s="56"/>
      <c r="G353" s="56"/>
      <c r="H353" s="56"/>
      <c r="I353" s="56"/>
      <c r="J353" s="56"/>
      <c r="K353" s="56"/>
      <c r="L353" s="2"/>
      <c r="M353" s="2"/>
      <c r="N353" s="2"/>
      <c r="O353" s="2"/>
      <c r="P353" s="2"/>
      <c r="Q353" s="2"/>
      <c r="R353" s="2"/>
      <c r="S353" s="2"/>
      <c r="T353" s="2"/>
      <c r="U353" s="2"/>
      <c r="V353" s="2"/>
      <c r="W353" s="2"/>
      <c r="X353" s="2"/>
      <c r="Y353" s="2"/>
      <c r="Z353" s="2"/>
      <c r="AA353" s="2"/>
      <c r="AB353" s="2"/>
      <c r="AC353" s="2"/>
      <c r="AD353" s="2"/>
    </row>
    <row r="354" spans="1:30"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ht="12.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ht="12.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ht="12.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ht="12.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ht="12.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ht="12.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ht="12.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ht="12.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ht="12.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ht="12.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ht="12.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ht="12.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ht="12.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ht="12.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ht="12.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ht="12.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ht="12.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ht="12.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ht="12.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ht="12.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ht="12.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ht="12.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ht="12.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ht="12.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ht="12.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ht="12.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ht="12.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ht="12.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ht="12.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ht="12.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ht="12.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ht="12.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ht="12.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ht="12.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ht="12.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ht="12.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ht="12.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ht="12.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ht="12.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ht="12.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ht="12.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ht="12.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ht="12.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ht="12.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ht="12.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ht="12.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ht="12.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ht="12.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ht="12.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ht="12.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ht="12.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ht="12.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ht="12.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ht="12.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ht="12.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ht="12.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ht="12.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ht="12.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ht="12.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ht="12.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ht="12.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ht="12.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ht="12.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ht="12.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ht="12.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ht="12.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ht="12.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ht="12.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ht="12.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ht="12.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ht="12.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ht="12.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ht="12.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ht="12.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ht="12.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ht="12.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ht="12.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ht="12.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ht="12.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ht="12.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ht="12.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ht="12.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ht="12.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ht="12.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ht="12.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row>
  </sheetData>
  <sheetProtection password="E1D3" sheet="1" objects="1" scenarios="1" selectLockedCells="1" selectUnlockedCells="1"/>
  <mergeCells count="1">
    <mergeCell ref="B7:O7"/>
  </mergeCells>
  <hyperlinks>
    <hyperlink ref="L4" r:id="rId1" display="boers010@umn.edu"/>
  </hyperlinks>
  <printOptions/>
  <pageMargins left="0.25" right="0.25" top="0.5" bottom="0.5" header="0.5" footer="0.5"/>
  <pageSetup horizontalDpi="600" verticalDpi="600" orientation="landscape"/>
  <drawing r:id="rId2"/>
</worksheet>
</file>

<file path=xl/worksheets/sheet7.xml><?xml version="1.0" encoding="utf-8"?>
<worksheet xmlns="http://schemas.openxmlformats.org/spreadsheetml/2006/main" xmlns:r="http://schemas.openxmlformats.org/officeDocument/2006/relationships">
  <sheetPr>
    <tabColor indexed="16"/>
  </sheetPr>
  <dimension ref="A1:AY503"/>
  <sheetViews>
    <sheetView showRowColHeaders="0" zoomScalePageLayoutView="0" workbookViewId="0" topLeftCell="A1">
      <pane ySplit="2" topLeftCell="A3" activePane="bottomLeft" state="frozen"/>
      <selection pane="topLeft" activeCell="A1" sqref="A1"/>
      <selection pane="bottomLeft" activeCell="A4" sqref="A4"/>
    </sheetView>
  </sheetViews>
  <sheetFormatPr defaultColWidth="8.8515625" defaultRowHeight="12.75"/>
  <cols>
    <col min="1" max="1" width="8.421875" style="0" customWidth="1"/>
    <col min="2" max="2" width="8.421875" style="58" customWidth="1"/>
    <col min="3" max="5" width="8.421875" style="0" customWidth="1"/>
    <col min="6" max="6" width="2.7109375" style="0" customWidth="1"/>
    <col min="7" max="7" width="8.421875" style="0" customWidth="1"/>
    <col min="8" max="8" width="8.421875" style="58" customWidth="1"/>
    <col min="9" max="11" width="8.421875" style="0" customWidth="1"/>
    <col min="12" max="12" width="2.7109375" style="0" customWidth="1"/>
    <col min="13" max="13" width="8.421875" style="0" customWidth="1"/>
    <col min="14" max="14" width="8.421875" style="58" customWidth="1"/>
    <col min="15" max="17" width="8.421875" style="0" customWidth="1"/>
    <col min="18" max="18" width="10.7109375" style="0" customWidth="1"/>
  </cols>
  <sheetData>
    <row r="1" spans="1:51" ht="12.75">
      <c r="A1" s="497"/>
      <c r="B1" s="498"/>
      <c r="C1" s="498"/>
      <c r="D1" s="498"/>
      <c r="E1" s="498"/>
      <c r="F1" s="498"/>
      <c r="G1" s="498"/>
      <c r="H1" s="498"/>
      <c r="I1" s="498"/>
      <c r="J1" s="498"/>
      <c r="K1" s="498"/>
      <c r="L1" s="498"/>
      <c r="M1" s="498"/>
      <c r="N1" s="57"/>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2.75">
      <c r="A2" s="2"/>
      <c r="B2" s="57"/>
      <c r="C2" s="2"/>
      <c r="D2" s="2"/>
      <c r="E2" s="2"/>
      <c r="F2" s="2"/>
      <c r="G2" s="2"/>
      <c r="H2" s="57"/>
      <c r="I2" s="2"/>
      <c r="J2" s="2"/>
      <c r="K2" s="2"/>
      <c r="L2" s="2"/>
      <c r="M2" s="2"/>
      <c r="N2" s="57"/>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2.7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2"/>
      <c r="AD3" s="2"/>
      <c r="AE3" s="2"/>
      <c r="AF3" s="2"/>
      <c r="AG3" s="2"/>
      <c r="AH3" s="2"/>
      <c r="AI3" s="2"/>
      <c r="AJ3" s="2"/>
      <c r="AK3" s="2"/>
      <c r="AL3" s="2"/>
      <c r="AM3" s="2"/>
      <c r="AN3" s="2"/>
      <c r="AO3" s="2"/>
      <c r="AP3" s="2"/>
      <c r="AQ3" s="2"/>
      <c r="AR3" s="2"/>
      <c r="AS3" s="2"/>
      <c r="AT3" s="2"/>
      <c r="AU3" s="2"/>
      <c r="AV3" s="2"/>
      <c r="AW3" s="2"/>
      <c r="AX3" s="2"/>
      <c r="AY3" s="2"/>
    </row>
    <row r="4" spans="1:51" ht="12.7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2"/>
      <c r="AD4" s="2"/>
      <c r="AE4" s="2"/>
      <c r="AF4" s="2"/>
      <c r="AG4" s="2"/>
      <c r="AH4" s="2"/>
      <c r="AI4" s="2"/>
      <c r="AJ4" s="2"/>
      <c r="AK4" s="2"/>
      <c r="AL4" s="2"/>
      <c r="AM4" s="2"/>
      <c r="AN4" s="2"/>
      <c r="AO4" s="2"/>
      <c r="AP4" s="2"/>
      <c r="AQ4" s="2"/>
      <c r="AR4" s="2"/>
      <c r="AS4" s="2"/>
      <c r="AT4" s="2"/>
      <c r="AU4" s="2"/>
      <c r="AV4" s="2"/>
      <c r="AW4" s="2"/>
      <c r="AX4" s="2"/>
      <c r="AY4" s="2"/>
    </row>
    <row r="5" spans="1:51" ht="12.7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2"/>
      <c r="AD5" s="2"/>
      <c r="AE5" s="2"/>
      <c r="AF5" s="2"/>
      <c r="AG5" s="2"/>
      <c r="AH5" s="2"/>
      <c r="AI5" s="2"/>
      <c r="AJ5" s="2"/>
      <c r="AK5" s="2"/>
      <c r="AL5" s="2"/>
      <c r="AM5" s="2"/>
      <c r="AN5" s="2"/>
      <c r="AO5" s="2"/>
      <c r="AP5" s="2"/>
      <c r="AQ5" s="2"/>
      <c r="AR5" s="2"/>
      <c r="AS5" s="2"/>
      <c r="AT5" s="2"/>
      <c r="AU5" s="2"/>
      <c r="AV5" s="2"/>
      <c r="AW5" s="2"/>
      <c r="AX5" s="2"/>
      <c r="AY5" s="2"/>
    </row>
    <row r="6" spans="1:51" ht="12.7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2"/>
      <c r="AD6" s="2"/>
      <c r="AE6" s="2"/>
      <c r="AF6" s="2"/>
      <c r="AG6" s="2"/>
      <c r="AH6" s="2"/>
      <c r="AI6" s="2"/>
      <c r="AJ6" s="2"/>
      <c r="AK6" s="2"/>
      <c r="AL6" s="2"/>
      <c r="AM6" s="2"/>
      <c r="AN6" s="2"/>
      <c r="AO6" s="2"/>
      <c r="AP6" s="2"/>
      <c r="AQ6" s="2"/>
      <c r="AR6" s="2"/>
      <c r="AS6" s="2"/>
      <c r="AT6" s="2"/>
      <c r="AU6" s="2"/>
      <c r="AV6" s="2"/>
      <c r="AW6" s="2"/>
      <c r="AX6" s="2"/>
      <c r="AY6" s="2"/>
    </row>
    <row r="7" spans="1:51" ht="12.75">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2"/>
      <c r="AD7" s="2"/>
      <c r="AE7" s="2"/>
      <c r="AF7" s="2"/>
      <c r="AG7" s="2"/>
      <c r="AH7" s="2"/>
      <c r="AI7" s="2"/>
      <c r="AJ7" s="2"/>
      <c r="AK7" s="2"/>
      <c r="AL7" s="2"/>
      <c r="AM7" s="2"/>
      <c r="AN7" s="2"/>
      <c r="AO7" s="2"/>
      <c r="AP7" s="2"/>
      <c r="AQ7" s="2"/>
      <c r="AR7" s="2"/>
      <c r="AS7" s="2"/>
      <c r="AT7" s="2"/>
      <c r="AU7" s="2"/>
      <c r="AV7" s="2"/>
      <c r="AW7" s="2"/>
      <c r="AX7" s="2"/>
      <c r="AY7" s="2"/>
    </row>
    <row r="8" spans="1:51" ht="12.7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2"/>
      <c r="AD8" s="2"/>
      <c r="AE8" s="2"/>
      <c r="AF8" s="2"/>
      <c r="AG8" s="2"/>
      <c r="AH8" s="2"/>
      <c r="AI8" s="2"/>
      <c r="AJ8" s="2"/>
      <c r="AK8" s="2"/>
      <c r="AL8" s="2"/>
      <c r="AM8" s="2"/>
      <c r="AN8" s="2"/>
      <c r="AO8" s="2"/>
      <c r="AP8" s="2"/>
      <c r="AQ8" s="2"/>
      <c r="AR8" s="2"/>
      <c r="AS8" s="2"/>
      <c r="AT8" s="2"/>
      <c r="AU8" s="2"/>
      <c r="AV8" s="2"/>
      <c r="AW8" s="2"/>
      <c r="AX8" s="2"/>
      <c r="AY8" s="2"/>
    </row>
    <row r="9" spans="1:51" ht="12.7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2"/>
      <c r="AD9" s="2"/>
      <c r="AE9" s="2"/>
      <c r="AF9" s="2"/>
      <c r="AG9" s="2"/>
      <c r="AH9" s="2"/>
      <c r="AI9" s="2"/>
      <c r="AJ9" s="2"/>
      <c r="AK9" s="2"/>
      <c r="AL9" s="2"/>
      <c r="AM9" s="2"/>
      <c r="AN9" s="2"/>
      <c r="AO9" s="2"/>
      <c r="AP9" s="2"/>
      <c r="AQ9" s="2"/>
      <c r="AR9" s="2"/>
      <c r="AS9" s="2"/>
      <c r="AT9" s="2"/>
      <c r="AU9" s="2"/>
      <c r="AV9" s="2"/>
      <c r="AW9" s="2"/>
      <c r="AX9" s="2"/>
      <c r="AY9" s="2"/>
    </row>
    <row r="10" spans="1:51" ht="7.5"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2"/>
      <c r="AD10" s="2"/>
      <c r="AE10" s="2"/>
      <c r="AF10" s="2"/>
      <c r="AG10" s="2"/>
      <c r="AH10" s="2"/>
      <c r="AI10" s="2"/>
      <c r="AJ10" s="2"/>
      <c r="AK10" s="2"/>
      <c r="AL10" s="2"/>
      <c r="AM10" s="2"/>
      <c r="AN10" s="2"/>
      <c r="AO10" s="2"/>
      <c r="AP10" s="2"/>
      <c r="AQ10" s="2"/>
      <c r="AR10" s="2"/>
      <c r="AS10" s="2"/>
      <c r="AT10" s="2"/>
      <c r="AU10" s="2"/>
      <c r="AV10" s="2"/>
      <c r="AW10" s="2"/>
      <c r="AX10" s="2"/>
      <c r="AY10" s="2"/>
    </row>
    <row r="11" spans="1:51" ht="12.75" customHeight="1">
      <c r="A11" s="491" t="s">
        <v>161</v>
      </c>
      <c r="B11" s="493"/>
      <c r="C11" s="493"/>
      <c r="D11" s="493"/>
      <c r="E11" s="493"/>
      <c r="F11" s="59"/>
      <c r="G11" s="491" t="s">
        <v>162</v>
      </c>
      <c r="H11" s="492"/>
      <c r="I11" s="492"/>
      <c r="J11" s="492"/>
      <c r="K11" s="492"/>
      <c r="L11" s="62"/>
      <c r="M11" s="491" t="s">
        <v>163</v>
      </c>
      <c r="N11" s="492"/>
      <c r="O11" s="492"/>
      <c r="P11" s="492"/>
      <c r="Q11" s="492"/>
      <c r="R11" s="57"/>
      <c r="S11" s="57"/>
      <c r="T11" s="57"/>
      <c r="U11" s="57"/>
      <c r="V11" s="57"/>
      <c r="W11" s="57"/>
      <c r="X11" s="57"/>
      <c r="Y11" s="57"/>
      <c r="Z11" s="57"/>
      <c r="AA11" s="57"/>
      <c r="AB11" s="57"/>
      <c r="AC11" s="2"/>
      <c r="AD11" s="2"/>
      <c r="AE11" s="2"/>
      <c r="AF11" s="2"/>
      <c r="AG11" s="2"/>
      <c r="AH11" s="2"/>
      <c r="AI11" s="2"/>
      <c r="AJ11" s="2"/>
      <c r="AK11" s="2"/>
      <c r="AL11" s="2"/>
      <c r="AM11" s="2"/>
      <c r="AN11" s="2"/>
      <c r="AO11" s="2"/>
      <c r="AP11" s="2"/>
      <c r="AQ11" s="2"/>
      <c r="AR11" s="2"/>
      <c r="AS11" s="2"/>
      <c r="AT11" s="2"/>
      <c r="AU11" s="2"/>
      <c r="AV11" s="2"/>
      <c r="AW11" s="2"/>
      <c r="AX11" s="2"/>
      <c r="AY11" s="2"/>
    </row>
    <row r="12" spans="1:51" ht="12.75" customHeight="1">
      <c r="A12" s="494" t="s">
        <v>171</v>
      </c>
      <c r="B12" s="496"/>
      <c r="C12" s="496"/>
      <c r="D12" s="496"/>
      <c r="E12" s="496"/>
      <c r="F12" s="59"/>
      <c r="G12" s="494" t="s">
        <v>4</v>
      </c>
      <c r="H12" s="496"/>
      <c r="I12" s="496"/>
      <c r="J12" s="496"/>
      <c r="K12" s="496"/>
      <c r="L12" s="59"/>
      <c r="M12" s="494" t="s">
        <v>172</v>
      </c>
      <c r="N12" s="495"/>
      <c r="O12" s="495"/>
      <c r="P12" s="495"/>
      <c r="Q12" s="495"/>
      <c r="R12" s="57"/>
      <c r="S12" s="57"/>
      <c r="T12" s="57"/>
      <c r="U12" s="57"/>
      <c r="V12" s="57"/>
      <c r="W12" s="57"/>
      <c r="X12" s="57"/>
      <c r="Y12" s="57"/>
      <c r="Z12" s="57"/>
      <c r="AA12" s="57"/>
      <c r="AB12" s="57"/>
      <c r="AC12" s="2"/>
      <c r="AD12" s="2"/>
      <c r="AE12" s="2"/>
      <c r="AF12" s="2"/>
      <c r="AG12" s="2"/>
      <c r="AH12" s="2"/>
      <c r="AI12" s="2"/>
      <c r="AJ12" s="2"/>
      <c r="AK12" s="2"/>
      <c r="AL12" s="2"/>
      <c r="AM12" s="2"/>
      <c r="AN12" s="2"/>
      <c r="AO12" s="2"/>
      <c r="AP12" s="2"/>
      <c r="AQ12" s="2"/>
      <c r="AR12" s="2"/>
      <c r="AS12" s="2"/>
      <c r="AT12" s="2"/>
      <c r="AU12" s="2"/>
      <c r="AV12" s="2"/>
      <c r="AW12" s="2"/>
      <c r="AX12" s="2"/>
      <c r="AY12" s="2"/>
    </row>
    <row r="13" spans="1:51" ht="12.75" customHeight="1">
      <c r="A13" s="496"/>
      <c r="B13" s="496"/>
      <c r="C13" s="496"/>
      <c r="D13" s="496"/>
      <c r="E13" s="496"/>
      <c r="F13" s="59"/>
      <c r="G13" s="496"/>
      <c r="H13" s="496"/>
      <c r="I13" s="496"/>
      <c r="J13" s="496"/>
      <c r="K13" s="496"/>
      <c r="L13" s="59"/>
      <c r="M13" s="495"/>
      <c r="N13" s="495"/>
      <c r="O13" s="495"/>
      <c r="P13" s="495"/>
      <c r="Q13" s="495"/>
      <c r="R13" s="57"/>
      <c r="S13" s="57"/>
      <c r="T13" s="57"/>
      <c r="U13" s="57"/>
      <c r="V13" s="57"/>
      <c r="W13" s="57"/>
      <c r="X13" s="57"/>
      <c r="Y13" s="57"/>
      <c r="Z13" s="57"/>
      <c r="AA13" s="57"/>
      <c r="AB13" s="57"/>
      <c r="AC13" s="2"/>
      <c r="AD13" s="2"/>
      <c r="AE13" s="2"/>
      <c r="AF13" s="2"/>
      <c r="AG13" s="2"/>
      <c r="AH13" s="2"/>
      <c r="AI13" s="2"/>
      <c r="AJ13" s="2"/>
      <c r="AK13" s="2"/>
      <c r="AL13" s="2"/>
      <c r="AM13" s="2"/>
      <c r="AN13" s="2"/>
      <c r="AO13" s="2"/>
      <c r="AP13" s="2"/>
      <c r="AQ13" s="2"/>
      <c r="AR13" s="2"/>
      <c r="AS13" s="2"/>
      <c r="AT13" s="2"/>
      <c r="AU13" s="2"/>
      <c r="AV13" s="2"/>
      <c r="AW13" s="2"/>
      <c r="AX13" s="2"/>
      <c r="AY13" s="2"/>
    </row>
    <row r="14" spans="1:51" ht="12.75" customHeight="1">
      <c r="A14" s="496"/>
      <c r="B14" s="496"/>
      <c r="C14" s="496"/>
      <c r="D14" s="496"/>
      <c r="E14" s="496"/>
      <c r="F14" s="59"/>
      <c r="G14" s="496"/>
      <c r="H14" s="496"/>
      <c r="I14" s="496"/>
      <c r="J14" s="496"/>
      <c r="K14" s="496"/>
      <c r="L14" s="59"/>
      <c r="M14" s="495"/>
      <c r="N14" s="495"/>
      <c r="O14" s="495"/>
      <c r="P14" s="495"/>
      <c r="Q14" s="495"/>
      <c r="R14" s="57"/>
      <c r="S14" s="57"/>
      <c r="T14" s="57"/>
      <c r="U14" s="57"/>
      <c r="V14" s="57"/>
      <c r="W14" s="57"/>
      <c r="X14" s="57"/>
      <c r="Y14" s="57"/>
      <c r="Z14" s="57"/>
      <c r="AA14" s="57"/>
      <c r="AB14" s="57"/>
      <c r="AC14" s="2"/>
      <c r="AD14" s="2"/>
      <c r="AE14" s="2"/>
      <c r="AF14" s="2"/>
      <c r="AG14" s="2"/>
      <c r="AH14" s="2"/>
      <c r="AI14" s="2"/>
      <c r="AJ14" s="2"/>
      <c r="AK14" s="2"/>
      <c r="AL14" s="2"/>
      <c r="AM14" s="2"/>
      <c r="AN14" s="2"/>
      <c r="AO14" s="2"/>
      <c r="AP14" s="2"/>
      <c r="AQ14" s="2"/>
      <c r="AR14" s="2"/>
      <c r="AS14" s="2"/>
      <c r="AT14" s="2"/>
      <c r="AU14" s="2"/>
      <c r="AV14" s="2"/>
      <c r="AW14" s="2"/>
      <c r="AX14" s="2"/>
      <c r="AY14" s="2"/>
    </row>
    <row r="15" spans="1:51" ht="12.75" customHeight="1">
      <c r="A15" s="496"/>
      <c r="B15" s="496"/>
      <c r="C15" s="496"/>
      <c r="D15" s="496"/>
      <c r="E15" s="496"/>
      <c r="F15" s="59"/>
      <c r="G15" s="496"/>
      <c r="H15" s="496"/>
      <c r="I15" s="496"/>
      <c r="J15" s="496"/>
      <c r="K15" s="496"/>
      <c r="L15" s="59"/>
      <c r="M15" s="495"/>
      <c r="N15" s="495"/>
      <c r="O15" s="495"/>
      <c r="P15" s="495"/>
      <c r="Q15" s="495"/>
      <c r="R15" s="57"/>
      <c r="S15" s="57"/>
      <c r="T15" s="57"/>
      <c r="U15" s="57"/>
      <c r="V15" s="57"/>
      <c r="W15" s="57"/>
      <c r="X15" s="57"/>
      <c r="Y15" s="57"/>
      <c r="Z15" s="57"/>
      <c r="AA15" s="57"/>
      <c r="AB15" s="57"/>
      <c r="AC15" s="2"/>
      <c r="AD15" s="2"/>
      <c r="AE15" s="2"/>
      <c r="AF15" s="2"/>
      <c r="AG15" s="2"/>
      <c r="AH15" s="2"/>
      <c r="AI15" s="2"/>
      <c r="AJ15" s="2"/>
      <c r="AK15" s="2"/>
      <c r="AL15" s="2"/>
      <c r="AM15" s="2"/>
      <c r="AN15" s="2"/>
      <c r="AO15" s="2"/>
      <c r="AP15" s="2"/>
      <c r="AQ15" s="2"/>
      <c r="AR15" s="2"/>
      <c r="AS15" s="2"/>
      <c r="AT15" s="2"/>
      <c r="AU15" s="2"/>
      <c r="AV15" s="2"/>
      <c r="AW15" s="2"/>
      <c r="AX15" s="2"/>
      <c r="AY15" s="2"/>
    </row>
    <row r="16" spans="1:51" ht="9" customHeight="1">
      <c r="A16" s="496"/>
      <c r="B16" s="496"/>
      <c r="C16" s="496"/>
      <c r="D16" s="496"/>
      <c r="E16" s="496"/>
      <c r="F16" s="59"/>
      <c r="G16" s="496"/>
      <c r="H16" s="496"/>
      <c r="I16" s="496"/>
      <c r="J16" s="496"/>
      <c r="K16" s="496"/>
      <c r="L16" s="59"/>
      <c r="M16" s="495"/>
      <c r="N16" s="495"/>
      <c r="O16" s="495"/>
      <c r="P16" s="495"/>
      <c r="Q16" s="495"/>
      <c r="R16" s="57"/>
      <c r="S16" s="57"/>
      <c r="T16" s="57"/>
      <c r="U16" s="57"/>
      <c r="V16" s="57"/>
      <c r="W16" s="57"/>
      <c r="X16" s="57"/>
      <c r="Y16" s="57"/>
      <c r="Z16" s="57"/>
      <c r="AA16" s="57"/>
      <c r="AB16" s="57"/>
      <c r="AC16" s="2"/>
      <c r="AD16" s="2"/>
      <c r="AE16" s="2"/>
      <c r="AF16" s="2"/>
      <c r="AG16" s="2"/>
      <c r="AH16" s="2"/>
      <c r="AI16" s="2"/>
      <c r="AJ16" s="2"/>
      <c r="AK16" s="2"/>
      <c r="AL16" s="2"/>
      <c r="AM16" s="2"/>
      <c r="AN16" s="2"/>
      <c r="AO16" s="2"/>
      <c r="AP16" s="2"/>
      <c r="AQ16" s="2"/>
      <c r="AR16" s="2"/>
      <c r="AS16" s="2"/>
      <c r="AT16" s="2"/>
      <c r="AU16" s="2"/>
      <c r="AV16" s="2"/>
      <c r="AW16" s="2"/>
      <c r="AX16" s="2"/>
      <c r="AY16" s="2"/>
    </row>
    <row r="17" spans="1:51" ht="12.7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2"/>
      <c r="AD17" s="2"/>
      <c r="AE17" s="2"/>
      <c r="AF17" s="2"/>
      <c r="AG17" s="2"/>
      <c r="AH17" s="2"/>
      <c r="AI17" s="2"/>
      <c r="AJ17" s="2"/>
      <c r="AK17" s="2"/>
      <c r="AL17" s="2"/>
      <c r="AM17" s="2"/>
      <c r="AN17" s="2"/>
      <c r="AO17" s="2"/>
      <c r="AP17" s="2"/>
      <c r="AQ17" s="2"/>
      <c r="AR17" s="2"/>
      <c r="AS17" s="2"/>
      <c r="AT17" s="2"/>
      <c r="AU17" s="2"/>
      <c r="AV17" s="2"/>
      <c r="AW17" s="2"/>
      <c r="AX17" s="2"/>
      <c r="AY17" s="2"/>
    </row>
    <row r="18" spans="1:51" ht="12.7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2"/>
      <c r="AD18" s="2"/>
      <c r="AE18" s="2"/>
      <c r="AF18" s="2"/>
      <c r="AG18" s="2"/>
      <c r="AH18" s="2"/>
      <c r="AI18" s="2"/>
      <c r="AJ18" s="2"/>
      <c r="AK18" s="2"/>
      <c r="AL18" s="2"/>
      <c r="AM18" s="2"/>
      <c r="AN18" s="2"/>
      <c r="AO18" s="2"/>
      <c r="AP18" s="2"/>
      <c r="AQ18" s="2"/>
      <c r="AR18" s="2"/>
      <c r="AS18" s="2"/>
      <c r="AT18" s="2"/>
      <c r="AU18" s="2"/>
      <c r="AV18" s="2"/>
      <c r="AW18" s="2"/>
      <c r="AX18" s="2"/>
      <c r="AY18" s="2"/>
    </row>
    <row r="19" spans="1:51" ht="12.7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2"/>
      <c r="AD19" s="2"/>
      <c r="AE19" s="2"/>
      <c r="AF19" s="2"/>
      <c r="AG19" s="2"/>
      <c r="AH19" s="2"/>
      <c r="AI19" s="2"/>
      <c r="AJ19" s="2"/>
      <c r="AK19" s="2"/>
      <c r="AL19" s="2"/>
      <c r="AM19" s="2"/>
      <c r="AN19" s="2"/>
      <c r="AO19" s="2"/>
      <c r="AP19" s="2"/>
      <c r="AQ19" s="2"/>
      <c r="AR19" s="2"/>
      <c r="AS19" s="2"/>
      <c r="AT19" s="2"/>
      <c r="AU19" s="2"/>
      <c r="AV19" s="2"/>
      <c r="AW19" s="2"/>
      <c r="AX19" s="2"/>
      <c r="AY19" s="2"/>
    </row>
    <row r="20" spans="1:51" ht="12.7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2"/>
      <c r="AD20" s="2"/>
      <c r="AE20" s="2"/>
      <c r="AF20" s="2"/>
      <c r="AG20" s="2"/>
      <c r="AH20" s="2"/>
      <c r="AI20" s="2"/>
      <c r="AJ20" s="2"/>
      <c r="AK20" s="2"/>
      <c r="AL20" s="2"/>
      <c r="AM20" s="2"/>
      <c r="AN20" s="2"/>
      <c r="AO20" s="2"/>
      <c r="AP20" s="2"/>
      <c r="AQ20" s="2"/>
      <c r="AR20" s="2"/>
      <c r="AS20" s="2"/>
      <c r="AT20" s="2"/>
      <c r="AU20" s="2"/>
      <c r="AV20" s="2"/>
      <c r="AW20" s="2"/>
      <c r="AX20" s="2"/>
      <c r="AY20" s="2"/>
    </row>
    <row r="21" spans="1:51" ht="12.7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2"/>
      <c r="AD21" s="2"/>
      <c r="AE21" s="2"/>
      <c r="AF21" s="2"/>
      <c r="AG21" s="2"/>
      <c r="AH21" s="2"/>
      <c r="AI21" s="2"/>
      <c r="AJ21" s="2"/>
      <c r="AK21" s="2"/>
      <c r="AL21" s="2"/>
      <c r="AM21" s="2"/>
      <c r="AN21" s="2"/>
      <c r="AO21" s="2"/>
      <c r="AP21" s="2"/>
      <c r="AQ21" s="2"/>
      <c r="AR21" s="2"/>
      <c r="AS21" s="2"/>
      <c r="AT21" s="2"/>
      <c r="AU21" s="2"/>
      <c r="AV21" s="2"/>
      <c r="AW21" s="2"/>
      <c r="AX21" s="2"/>
      <c r="AY21" s="2"/>
    </row>
    <row r="22" spans="1:51" ht="12.7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2"/>
      <c r="AD22" s="2"/>
      <c r="AE22" s="2"/>
      <c r="AF22" s="2"/>
      <c r="AG22" s="2"/>
      <c r="AH22" s="2"/>
      <c r="AI22" s="2"/>
      <c r="AJ22" s="2"/>
      <c r="AK22" s="2"/>
      <c r="AL22" s="2"/>
      <c r="AM22" s="2"/>
      <c r="AN22" s="2"/>
      <c r="AO22" s="2"/>
      <c r="AP22" s="2"/>
      <c r="AQ22" s="2"/>
      <c r="AR22" s="2"/>
      <c r="AS22" s="2"/>
      <c r="AT22" s="2"/>
      <c r="AU22" s="2"/>
      <c r="AV22" s="2"/>
      <c r="AW22" s="2"/>
      <c r="AX22" s="2"/>
      <c r="AY22" s="2"/>
    </row>
    <row r="23" spans="1:51" ht="12.7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2"/>
      <c r="AD23" s="2"/>
      <c r="AE23" s="2"/>
      <c r="AF23" s="2"/>
      <c r="AG23" s="2"/>
      <c r="AH23" s="2"/>
      <c r="AI23" s="2"/>
      <c r="AJ23" s="2"/>
      <c r="AK23" s="2"/>
      <c r="AL23" s="2"/>
      <c r="AM23" s="2"/>
      <c r="AN23" s="2"/>
      <c r="AO23" s="2"/>
      <c r="AP23" s="2"/>
      <c r="AQ23" s="2"/>
      <c r="AR23" s="2"/>
      <c r="AS23" s="2"/>
      <c r="AT23" s="2"/>
      <c r="AU23" s="2"/>
      <c r="AV23" s="2"/>
      <c r="AW23" s="2"/>
      <c r="AX23" s="2"/>
      <c r="AY23" s="2"/>
    </row>
    <row r="24" spans="1:51" ht="5.2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2"/>
      <c r="AD24" s="2"/>
      <c r="AE24" s="2"/>
      <c r="AF24" s="2"/>
      <c r="AG24" s="2"/>
      <c r="AH24" s="2"/>
      <c r="AI24" s="2"/>
      <c r="AJ24" s="2"/>
      <c r="AK24" s="2"/>
      <c r="AL24" s="2"/>
      <c r="AM24" s="2"/>
      <c r="AN24" s="2"/>
      <c r="AO24" s="2"/>
      <c r="AP24" s="2"/>
      <c r="AQ24" s="2"/>
      <c r="AR24" s="2"/>
      <c r="AS24" s="2"/>
      <c r="AT24" s="2"/>
      <c r="AU24" s="2"/>
      <c r="AV24" s="2"/>
      <c r="AW24" s="2"/>
      <c r="AX24" s="2"/>
      <c r="AY24" s="2"/>
    </row>
    <row r="25" spans="1:51" ht="12.75" customHeight="1">
      <c r="A25" s="491" t="s">
        <v>164</v>
      </c>
      <c r="B25" s="493"/>
      <c r="C25" s="493"/>
      <c r="D25" s="493"/>
      <c r="E25" s="493"/>
      <c r="F25" s="59"/>
      <c r="G25" s="491" t="s">
        <v>165</v>
      </c>
      <c r="H25" s="492"/>
      <c r="I25" s="492"/>
      <c r="J25" s="492"/>
      <c r="K25" s="492"/>
      <c r="L25" s="62"/>
      <c r="M25" s="491" t="s">
        <v>166</v>
      </c>
      <c r="N25" s="492"/>
      <c r="O25" s="492"/>
      <c r="P25" s="492"/>
      <c r="Q25" s="492"/>
      <c r="R25" s="57"/>
      <c r="S25" s="57"/>
      <c r="T25" s="57"/>
      <c r="U25" s="57"/>
      <c r="V25" s="57"/>
      <c r="W25" s="57"/>
      <c r="X25" s="57"/>
      <c r="Y25" s="57"/>
      <c r="Z25" s="57"/>
      <c r="AA25" s="57"/>
      <c r="AB25" s="57"/>
      <c r="AC25" s="2"/>
      <c r="AD25" s="2"/>
      <c r="AE25" s="2"/>
      <c r="AF25" s="2"/>
      <c r="AG25" s="2"/>
      <c r="AH25" s="2"/>
      <c r="AI25" s="2"/>
      <c r="AJ25" s="2"/>
      <c r="AK25" s="2"/>
      <c r="AL25" s="2"/>
      <c r="AM25" s="2"/>
      <c r="AN25" s="2"/>
      <c r="AO25" s="2"/>
      <c r="AP25" s="2"/>
      <c r="AQ25" s="2"/>
      <c r="AR25" s="2"/>
      <c r="AS25" s="2"/>
      <c r="AT25" s="2"/>
      <c r="AU25" s="2"/>
      <c r="AV25" s="2"/>
      <c r="AW25" s="2"/>
      <c r="AX25" s="2"/>
      <c r="AY25" s="2"/>
    </row>
    <row r="26" spans="1:51" ht="12.75" customHeight="1">
      <c r="A26" s="494" t="s">
        <v>5</v>
      </c>
      <c r="B26" s="496"/>
      <c r="C26" s="496"/>
      <c r="D26" s="496"/>
      <c r="E26" s="496"/>
      <c r="F26" s="59"/>
      <c r="G26" s="494" t="s">
        <v>174</v>
      </c>
      <c r="H26" s="495"/>
      <c r="I26" s="495"/>
      <c r="J26" s="495"/>
      <c r="K26" s="495"/>
      <c r="L26" s="60"/>
      <c r="M26" s="494" t="s">
        <v>173</v>
      </c>
      <c r="N26" s="495"/>
      <c r="O26" s="495"/>
      <c r="P26" s="495"/>
      <c r="Q26" s="495"/>
      <c r="R26" s="57"/>
      <c r="S26" s="57"/>
      <c r="T26" s="57"/>
      <c r="U26" s="57"/>
      <c r="V26" s="57"/>
      <c r="W26" s="57"/>
      <c r="X26" s="57"/>
      <c r="Y26" s="57"/>
      <c r="Z26" s="57"/>
      <c r="AA26" s="57"/>
      <c r="AB26" s="57"/>
      <c r="AC26" s="2"/>
      <c r="AD26" s="2"/>
      <c r="AE26" s="2"/>
      <c r="AF26" s="2"/>
      <c r="AG26" s="2"/>
      <c r="AH26" s="2"/>
      <c r="AI26" s="2"/>
      <c r="AJ26" s="2"/>
      <c r="AK26" s="2"/>
      <c r="AL26" s="2"/>
      <c r="AM26" s="2"/>
      <c r="AN26" s="2"/>
      <c r="AO26" s="2"/>
      <c r="AP26" s="2"/>
      <c r="AQ26" s="2"/>
      <c r="AR26" s="2"/>
      <c r="AS26" s="2"/>
      <c r="AT26" s="2"/>
      <c r="AU26" s="2"/>
      <c r="AV26" s="2"/>
      <c r="AW26" s="2"/>
      <c r="AX26" s="2"/>
      <c r="AY26" s="2"/>
    </row>
    <row r="27" spans="1:51" ht="12.75" customHeight="1">
      <c r="A27" s="496"/>
      <c r="B27" s="496"/>
      <c r="C27" s="496"/>
      <c r="D27" s="496"/>
      <c r="E27" s="496"/>
      <c r="F27" s="59"/>
      <c r="G27" s="495"/>
      <c r="H27" s="495"/>
      <c r="I27" s="495"/>
      <c r="J27" s="495"/>
      <c r="K27" s="495"/>
      <c r="L27" s="60"/>
      <c r="M27" s="495"/>
      <c r="N27" s="495"/>
      <c r="O27" s="495"/>
      <c r="P27" s="495"/>
      <c r="Q27" s="495"/>
      <c r="R27" s="57"/>
      <c r="S27" s="57"/>
      <c r="T27" s="57"/>
      <c r="U27" s="57"/>
      <c r="V27" s="57"/>
      <c r="W27" s="57"/>
      <c r="X27" s="57"/>
      <c r="Y27" s="57"/>
      <c r="Z27" s="57"/>
      <c r="AA27" s="57"/>
      <c r="AB27" s="57"/>
      <c r="AC27" s="2"/>
      <c r="AD27" s="2"/>
      <c r="AE27" s="2"/>
      <c r="AF27" s="2"/>
      <c r="AG27" s="2"/>
      <c r="AH27" s="2"/>
      <c r="AI27" s="2"/>
      <c r="AJ27" s="2"/>
      <c r="AK27" s="2"/>
      <c r="AL27" s="2"/>
      <c r="AM27" s="2"/>
      <c r="AN27" s="2"/>
      <c r="AO27" s="2"/>
      <c r="AP27" s="2"/>
      <c r="AQ27" s="2"/>
      <c r="AR27" s="2"/>
      <c r="AS27" s="2"/>
      <c r="AT27" s="2"/>
      <c r="AU27" s="2"/>
      <c r="AV27" s="2"/>
      <c r="AW27" s="2"/>
      <c r="AX27" s="2"/>
      <c r="AY27" s="2"/>
    </row>
    <row r="28" spans="1:51" ht="12.75" customHeight="1">
      <c r="A28" s="496"/>
      <c r="B28" s="496"/>
      <c r="C28" s="496"/>
      <c r="D28" s="496"/>
      <c r="E28" s="496"/>
      <c r="F28" s="59"/>
      <c r="G28" s="495"/>
      <c r="H28" s="495"/>
      <c r="I28" s="495"/>
      <c r="J28" s="495"/>
      <c r="K28" s="495"/>
      <c r="L28" s="60"/>
      <c r="M28" s="495"/>
      <c r="N28" s="495"/>
      <c r="O28" s="495"/>
      <c r="P28" s="495"/>
      <c r="Q28" s="495"/>
      <c r="R28" s="57"/>
      <c r="S28" s="57"/>
      <c r="T28" s="57"/>
      <c r="U28" s="57"/>
      <c r="V28" s="57"/>
      <c r="W28" s="57"/>
      <c r="X28" s="57"/>
      <c r="Y28" s="57"/>
      <c r="Z28" s="57"/>
      <c r="AA28" s="57"/>
      <c r="AB28" s="57"/>
      <c r="AC28" s="2"/>
      <c r="AD28" s="2"/>
      <c r="AE28" s="2"/>
      <c r="AF28" s="2"/>
      <c r="AG28" s="2"/>
      <c r="AH28" s="2"/>
      <c r="AI28" s="2"/>
      <c r="AJ28" s="2"/>
      <c r="AK28" s="2"/>
      <c r="AL28" s="2"/>
      <c r="AM28" s="2"/>
      <c r="AN28" s="2"/>
      <c r="AO28" s="2"/>
      <c r="AP28" s="2"/>
      <c r="AQ28" s="2"/>
      <c r="AR28" s="2"/>
      <c r="AS28" s="2"/>
      <c r="AT28" s="2"/>
      <c r="AU28" s="2"/>
      <c r="AV28" s="2"/>
      <c r="AW28" s="2"/>
      <c r="AX28" s="2"/>
      <c r="AY28" s="2"/>
    </row>
    <row r="29" spans="1:51" ht="12.75" customHeight="1">
      <c r="A29" s="496"/>
      <c r="B29" s="496"/>
      <c r="C29" s="496"/>
      <c r="D29" s="496"/>
      <c r="E29" s="496"/>
      <c r="F29" s="59"/>
      <c r="G29" s="495"/>
      <c r="H29" s="495"/>
      <c r="I29" s="495"/>
      <c r="J29" s="495"/>
      <c r="K29" s="495"/>
      <c r="L29" s="60"/>
      <c r="M29" s="495"/>
      <c r="N29" s="495"/>
      <c r="O29" s="495"/>
      <c r="P29" s="495"/>
      <c r="Q29" s="495"/>
      <c r="R29" s="57"/>
      <c r="S29" s="57"/>
      <c r="T29" s="57"/>
      <c r="U29" s="57"/>
      <c r="V29" s="57"/>
      <c r="W29" s="57"/>
      <c r="X29" s="57"/>
      <c r="Y29" s="57"/>
      <c r="Z29" s="57"/>
      <c r="AA29" s="57"/>
      <c r="AB29" s="57"/>
      <c r="AC29" s="2"/>
      <c r="AD29" s="2"/>
      <c r="AE29" s="2"/>
      <c r="AF29" s="2"/>
      <c r="AG29" s="2"/>
      <c r="AH29" s="2"/>
      <c r="AI29" s="2"/>
      <c r="AJ29" s="2"/>
      <c r="AK29" s="2"/>
      <c r="AL29" s="2"/>
      <c r="AM29" s="2"/>
      <c r="AN29" s="2"/>
      <c r="AO29" s="2"/>
      <c r="AP29" s="2"/>
      <c r="AQ29" s="2"/>
      <c r="AR29" s="2"/>
      <c r="AS29" s="2"/>
      <c r="AT29" s="2"/>
      <c r="AU29" s="2"/>
      <c r="AV29" s="2"/>
      <c r="AW29" s="2"/>
      <c r="AX29" s="2"/>
      <c r="AY29" s="2"/>
    </row>
    <row r="30" spans="1:51" ht="12.75" customHeight="1">
      <c r="A30" s="496"/>
      <c r="B30" s="496"/>
      <c r="C30" s="496"/>
      <c r="D30" s="496"/>
      <c r="E30" s="496"/>
      <c r="F30" s="59"/>
      <c r="G30" s="495"/>
      <c r="H30" s="495"/>
      <c r="I30" s="495"/>
      <c r="J30" s="495"/>
      <c r="K30" s="495"/>
      <c r="L30" s="60"/>
      <c r="M30" s="495"/>
      <c r="N30" s="495"/>
      <c r="O30" s="495"/>
      <c r="P30" s="495"/>
      <c r="Q30" s="495"/>
      <c r="R30" s="57"/>
      <c r="S30" s="57"/>
      <c r="T30" s="57"/>
      <c r="U30" s="57"/>
      <c r="V30" s="57"/>
      <c r="W30" s="57"/>
      <c r="X30" s="57"/>
      <c r="Y30" s="57"/>
      <c r="Z30" s="57"/>
      <c r="AA30" s="57"/>
      <c r="AB30" s="57"/>
      <c r="AC30" s="2"/>
      <c r="AD30" s="2"/>
      <c r="AE30" s="2"/>
      <c r="AF30" s="2"/>
      <c r="AG30" s="2"/>
      <c r="AH30" s="2"/>
      <c r="AI30" s="2"/>
      <c r="AJ30" s="2"/>
      <c r="AK30" s="2"/>
      <c r="AL30" s="2"/>
      <c r="AM30" s="2"/>
      <c r="AN30" s="2"/>
      <c r="AO30" s="2"/>
      <c r="AP30" s="2"/>
      <c r="AQ30" s="2"/>
      <c r="AR30" s="2"/>
      <c r="AS30" s="2"/>
      <c r="AT30" s="2"/>
      <c r="AU30" s="2"/>
      <c r="AV30" s="2"/>
      <c r="AW30" s="2"/>
      <c r="AX30" s="2"/>
      <c r="AY30" s="2"/>
    </row>
    <row r="31" spans="1:51" ht="12.75" customHeight="1">
      <c r="A31" s="496"/>
      <c r="B31" s="496"/>
      <c r="C31" s="496"/>
      <c r="D31" s="496"/>
      <c r="E31" s="496"/>
      <c r="F31" s="59"/>
      <c r="G31" s="495"/>
      <c r="H31" s="495"/>
      <c r="I31" s="495"/>
      <c r="J31" s="495"/>
      <c r="K31" s="495"/>
      <c r="L31" s="60"/>
      <c r="M31" s="495"/>
      <c r="N31" s="495"/>
      <c r="O31" s="495"/>
      <c r="P31" s="495"/>
      <c r="Q31" s="495"/>
      <c r="R31" s="57"/>
      <c r="S31" s="57"/>
      <c r="T31" s="57"/>
      <c r="U31" s="57"/>
      <c r="V31" s="57"/>
      <c r="W31" s="57"/>
      <c r="X31" s="57"/>
      <c r="Y31" s="57"/>
      <c r="Z31" s="57"/>
      <c r="AA31" s="57"/>
      <c r="AB31" s="57"/>
      <c r="AC31" s="2"/>
      <c r="AD31" s="2"/>
      <c r="AE31" s="2"/>
      <c r="AF31" s="2"/>
      <c r="AG31" s="2"/>
      <c r="AH31" s="2"/>
      <c r="AI31" s="2"/>
      <c r="AJ31" s="2"/>
      <c r="AK31" s="2"/>
      <c r="AL31" s="2"/>
      <c r="AM31" s="2"/>
      <c r="AN31" s="2"/>
      <c r="AO31" s="2"/>
      <c r="AP31" s="2"/>
      <c r="AQ31" s="2"/>
      <c r="AR31" s="2"/>
      <c r="AS31" s="2"/>
      <c r="AT31" s="2"/>
      <c r="AU31" s="2"/>
      <c r="AV31" s="2"/>
      <c r="AW31" s="2"/>
      <c r="AX31" s="2"/>
      <c r="AY31" s="2"/>
    </row>
    <row r="32" spans="1:51" ht="9.75" customHeight="1">
      <c r="A32" s="496"/>
      <c r="B32" s="496"/>
      <c r="C32" s="496"/>
      <c r="D32" s="496"/>
      <c r="E32" s="496"/>
      <c r="F32" s="59"/>
      <c r="G32" s="495"/>
      <c r="H32" s="495"/>
      <c r="I32" s="495"/>
      <c r="J32" s="495"/>
      <c r="K32" s="495"/>
      <c r="L32" s="60"/>
      <c r="M32" s="495"/>
      <c r="N32" s="495"/>
      <c r="O32" s="495"/>
      <c r="P32" s="495"/>
      <c r="Q32" s="495"/>
      <c r="R32" s="57"/>
      <c r="S32" s="57"/>
      <c r="T32" s="57"/>
      <c r="U32" s="57"/>
      <c r="V32" s="57"/>
      <c r="W32" s="57"/>
      <c r="X32" s="57"/>
      <c r="Y32" s="57"/>
      <c r="Z32" s="57"/>
      <c r="AA32" s="57"/>
      <c r="AB32" s="57"/>
      <c r="AC32" s="2"/>
      <c r="AD32" s="2"/>
      <c r="AE32" s="2"/>
      <c r="AF32" s="2"/>
      <c r="AG32" s="2"/>
      <c r="AH32" s="2"/>
      <c r="AI32" s="2"/>
      <c r="AJ32" s="2"/>
      <c r="AK32" s="2"/>
      <c r="AL32" s="2"/>
      <c r="AM32" s="2"/>
      <c r="AN32" s="2"/>
      <c r="AO32" s="2"/>
      <c r="AP32" s="2"/>
      <c r="AQ32" s="2"/>
      <c r="AR32" s="2"/>
      <c r="AS32" s="2"/>
      <c r="AT32" s="2"/>
      <c r="AU32" s="2"/>
      <c r="AV32" s="2"/>
      <c r="AW32" s="2"/>
      <c r="AX32" s="2"/>
      <c r="AY32" s="2"/>
    </row>
    <row r="33" spans="1:51" ht="12.7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2"/>
      <c r="AD33" s="2"/>
      <c r="AE33" s="2"/>
      <c r="AF33" s="2"/>
      <c r="AG33" s="2"/>
      <c r="AH33" s="2"/>
      <c r="AI33" s="2"/>
      <c r="AJ33" s="2"/>
      <c r="AK33" s="2"/>
      <c r="AL33" s="2"/>
      <c r="AM33" s="2"/>
      <c r="AN33" s="2"/>
      <c r="AO33" s="2"/>
      <c r="AP33" s="2"/>
      <c r="AQ33" s="2"/>
      <c r="AR33" s="2"/>
      <c r="AS33" s="2"/>
      <c r="AT33" s="2"/>
      <c r="AU33" s="2"/>
      <c r="AV33" s="2"/>
      <c r="AW33" s="2"/>
      <c r="AX33" s="2"/>
      <c r="AY33" s="2"/>
    </row>
    <row r="34" spans="1:51" ht="12.75">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2"/>
      <c r="AD34" s="2"/>
      <c r="AE34" s="2"/>
      <c r="AF34" s="2"/>
      <c r="AG34" s="2"/>
      <c r="AH34" s="2"/>
      <c r="AI34" s="2"/>
      <c r="AJ34" s="2"/>
      <c r="AK34" s="2"/>
      <c r="AL34" s="2"/>
      <c r="AM34" s="2"/>
      <c r="AN34" s="2"/>
      <c r="AO34" s="2"/>
      <c r="AP34" s="2"/>
      <c r="AQ34" s="2"/>
      <c r="AR34" s="2"/>
      <c r="AS34" s="2"/>
      <c r="AT34" s="2"/>
      <c r="AU34" s="2"/>
      <c r="AV34" s="2"/>
      <c r="AW34" s="2"/>
      <c r="AX34" s="2"/>
      <c r="AY34" s="2"/>
    </row>
    <row r="35" spans="1:51" ht="12.7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2"/>
      <c r="AD35" s="2"/>
      <c r="AE35" s="2"/>
      <c r="AF35" s="2"/>
      <c r="AG35" s="2"/>
      <c r="AH35" s="2"/>
      <c r="AI35" s="2"/>
      <c r="AJ35" s="2"/>
      <c r="AK35" s="2"/>
      <c r="AL35" s="2"/>
      <c r="AM35" s="2"/>
      <c r="AN35" s="2"/>
      <c r="AO35" s="2"/>
      <c r="AP35" s="2"/>
      <c r="AQ35" s="2"/>
      <c r="AR35" s="2"/>
      <c r="AS35" s="2"/>
      <c r="AT35" s="2"/>
      <c r="AU35" s="2"/>
      <c r="AV35" s="2"/>
      <c r="AW35" s="2"/>
      <c r="AX35" s="2"/>
      <c r="AY35" s="2"/>
    </row>
    <row r="36" spans="1:51" ht="12.75">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2"/>
      <c r="AD36" s="2"/>
      <c r="AE36" s="2"/>
      <c r="AF36" s="2"/>
      <c r="AG36" s="2"/>
      <c r="AH36" s="2"/>
      <c r="AI36" s="2"/>
      <c r="AJ36" s="2"/>
      <c r="AK36" s="2"/>
      <c r="AL36" s="2"/>
      <c r="AM36" s="2"/>
      <c r="AN36" s="2"/>
      <c r="AO36" s="2"/>
      <c r="AP36" s="2"/>
      <c r="AQ36" s="2"/>
      <c r="AR36" s="2"/>
      <c r="AS36" s="2"/>
      <c r="AT36" s="2"/>
      <c r="AU36" s="2"/>
      <c r="AV36" s="2"/>
      <c r="AW36" s="2"/>
      <c r="AX36" s="2"/>
      <c r="AY36" s="2"/>
    </row>
    <row r="37" spans="1:51" ht="12.75">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2"/>
      <c r="AD37" s="2"/>
      <c r="AE37" s="2"/>
      <c r="AF37" s="2"/>
      <c r="AG37" s="2"/>
      <c r="AH37" s="2"/>
      <c r="AI37" s="2"/>
      <c r="AJ37" s="2"/>
      <c r="AK37" s="2"/>
      <c r="AL37" s="2"/>
      <c r="AM37" s="2"/>
      <c r="AN37" s="2"/>
      <c r="AO37" s="2"/>
      <c r="AP37" s="2"/>
      <c r="AQ37" s="2"/>
      <c r="AR37" s="2"/>
      <c r="AS37" s="2"/>
      <c r="AT37" s="2"/>
      <c r="AU37" s="2"/>
      <c r="AV37" s="2"/>
      <c r="AW37" s="2"/>
      <c r="AX37" s="2"/>
      <c r="AY37" s="2"/>
    </row>
    <row r="38" spans="1:51" ht="12.75">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2"/>
      <c r="AD38" s="2"/>
      <c r="AE38" s="2"/>
      <c r="AF38" s="2"/>
      <c r="AG38" s="2"/>
      <c r="AH38" s="2"/>
      <c r="AI38" s="2"/>
      <c r="AJ38" s="2"/>
      <c r="AK38" s="2"/>
      <c r="AL38" s="2"/>
      <c r="AM38" s="2"/>
      <c r="AN38" s="2"/>
      <c r="AO38" s="2"/>
      <c r="AP38" s="2"/>
      <c r="AQ38" s="2"/>
      <c r="AR38" s="2"/>
      <c r="AS38" s="2"/>
      <c r="AT38" s="2"/>
      <c r="AU38" s="2"/>
      <c r="AV38" s="2"/>
      <c r="AW38" s="2"/>
      <c r="AX38" s="2"/>
      <c r="AY38" s="2"/>
    </row>
    <row r="39" spans="1:51" ht="12.7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2"/>
      <c r="AD39" s="2"/>
      <c r="AE39" s="2"/>
      <c r="AF39" s="2"/>
      <c r="AG39" s="2"/>
      <c r="AH39" s="2"/>
      <c r="AI39" s="2"/>
      <c r="AJ39" s="2"/>
      <c r="AK39" s="2"/>
      <c r="AL39" s="2"/>
      <c r="AM39" s="2"/>
      <c r="AN39" s="2"/>
      <c r="AO39" s="2"/>
      <c r="AP39" s="2"/>
      <c r="AQ39" s="2"/>
      <c r="AR39" s="2"/>
      <c r="AS39" s="2"/>
      <c r="AT39" s="2"/>
      <c r="AU39" s="2"/>
      <c r="AV39" s="2"/>
      <c r="AW39" s="2"/>
      <c r="AX39" s="2"/>
      <c r="AY39" s="2"/>
    </row>
    <row r="40" spans="1:51" ht="6.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2"/>
      <c r="AD40" s="2"/>
      <c r="AE40" s="2"/>
      <c r="AF40" s="2"/>
      <c r="AG40" s="2"/>
      <c r="AH40" s="2"/>
      <c r="AI40" s="2"/>
      <c r="AJ40" s="2"/>
      <c r="AK40" s="2"/>
      <c r="AL40" s="2"/>
      <c r="AM40" s="2"/>
      <c r="AN40" s="2"/>
      <c r="AO40" s="2"/>
      <c r="AP40" s="2"/>
      <c r="AQ40" s="2"/>
      <c r="AR40" s="2"/>
      <c r="AS40" s="2"/>
      <c r="AT40" s="2"/>
      <c r="AU40" s="2"/>
      <c r="AV40" s="2"/>
      <c r="AW40" s="2"/>
      <c r="AX40" s="2"/>
      <c r="AY40" s="2"/>
    </row>
    <row r="41" spans="1:51" ht="12.75" customHeight="1">
      <c r="A41" s="491" t="s">
        <v>167</v>
      </c>
      <c r="B41" s="493"/>
      <c r="C41" s="493"/>
      <c r="D41" s="493"/>
      <c r="E41" s="493"/>
      <c r="F41" s="59"/>
      <c r="G41" s="491" t="s">
        <v>168</v>
      </c>
      <c r="H41" s="492"/>
      <c r="I41" s="492"/>
      <c r="J41" s="492"/>
      <c r="K41" s="492"/>
      <c r="L41" s="62"/>
      <c r="M41" s="491" t="s">
        <v>169</v>
      </c>
      <c r="N41" s="492"/>
      <c r="O41" s="492"/>
      <c r="P41" s="492"/>
      <c r="Q41" s="492"/>
      <c r="R41" s="57"/>
      <c r="S41" s="57"/>
      <c r="T41" s="57"/>
      <c r="U41" s="57"/>
      <c r="V41" s="57"/>
      <c r="W41" s="57"/>
      <c r="X41" s="57"/>
      <c r="Y41" s="57"/>
      <c r="Z41" s="57"/>
      <c r="AA41" s="57"/>
      <c r="AB41" s="57"/>
      <c r="AC41" s="2"/>
      <c r="AD41" s="2"/>
      <c r="AE41" s="2"/>
      <c r="AF41" s="2"/>
      <c r="AG41" s="2"/>
      <c r="AH41" s="2"/>
      <c r="AI41" s="2"/>
      <c r="AJ41" s="2"/>
      <c r="AK41" s="2"/>
      <c r="AL41" s="2"/>
      <c r="AM41" s="2"/>
      <c r="AN41" s="2"/>
      <c r="AO41" s="2"/>
      <c r="AP41" s="2"/>
      <c r="AQ41" s="2"/>
      <c r="AR41" s="2"/>
      <c r="AS41" s="2"/>
      <c r="AT41" s="2"/>
      <c r="AU41" s="2"/>
      <c r="AV41" s="2"/>
      <c r="AW41" s="2"/>
      <c r="AX41" s="2"/>
      <c r="AY41" s="2"/>
    </row>
    <row r="42" spans="1:51" ht="12.75" customHeight="1">
      <c r="A42" s="494" t="s">
        <v>175</v>
      </c>
      <c r="B42" s="496"/>
      <c r="C42" s="496"/>
      <c r="D42" s="496"/>
      <c r="E42" s="496"/>
      <c r="F42" s="59"/>
      <c r="G42" s="494" t="s">
        <v>176</v>
      </c>
      <c r="H42" s="495"/>
      <c r="I42" s="495"/>
      <c r="J42" s="495"/>
      <c r="K42" s="495"/>
      <c r="L42" s="60"/>
      <c r="M42" s="494" t="s">
        <v>86</v>
      </c>
      <c r="N42" s="495"/>
      <c r="O42" s="495"/>
      <c r="P42" s="495"/>
      <c r="Q42" s="495"/>
      <c r="R42" s="57"/>
      <c r="S42" s="57"/>
      <c r="T42" s="57"/>
      <c r="U42" s="57"/>
      <c r="V42" s="57"/>
      <c r="W42" s="57"/>
      <c r="X42" s="57"/>
      <c r="Y42" s="57"/>
      <c r="Z42" s="57"/>
      <c r="AA42" s="57"/>
      <c r="AB42" s="57"/>
      <c r="AC42" s="2"/>
      <c r="AD42" s="2"/>
      <c r="AE42" s="2"/>
      <c r="AF42" s="2"/>
      <c r="AG42" s="2"/>
      <c r="AH42" s="2"/>
      <c r="AI42" s="2"/>
      <c r="AJ42" s="2"/>
      <c r="AK42" s="2"/>
      <c r="AL42" s="2"/>
      <c r="AM42" s="2"/>
      <c r="AN42" s="2"/>
      <c r="AO42" s="2"/>
      <c r="AP42" s="2"/>
      <c r="AQ42" s="2"/>
      <c r="AR42" s="2"/>
      <c r="AS42" s="2"/>
      <c r="AT42" s="2"/>
      <c r="AU42" s="2"/>
      <c r="AV42" s="2"/>
      <c r="AW42" s="2"/>
      <c r="AX42" s="2"/>
      <c r="AY42" s="2"/>
    </row>
    <row r="43" spans="1:51" ht="12.75" customHeight="1">
      <c r="A43" s="496"/>
      <c r="B43" s="496"/>
      <c r="C43" s="496"/>
      <c r="D43" s="496"/>
      <c r="E43" s="496"/>
      <c r="F43" s="59"/>
      <c r="G43" s="495"/>
      <c r="H43" s="495"/>
      <c r="I43" s="495"/>
      <c r="J43" s="495"/>
      <c r="K43" s="495"/>
      <c r="L43" s="60"/>
      <c r="M43" s="495"/>
      <c r="N43" s="495"/>
      <c r="O43" s="495"/>
      <c r="P43" s="495"/>
      <c r="Q43" s="495"/>
      <c r="R43" s="57"/>
      <c r="S43" s="57"/>
      <c r="T43" s="57"/>
      <c r="U43" s="57"/>
      <c r="V43" s="57"/>
      <c r="W43" s="57"/>
      <c r="X43" s="57"/>
      <c r="Y43" s="57"/>
      <c r="Z43" s="57"/>
      <c r="AA43" s="57"/>
      <c r="AB43" s="57"/>
      <c r="AC43" s="2"/>
      <c r="AD43" s="2"/>
      <c r="AE43" s="2"/>
      <c r="AF43" s="2"/>
      <c r="AG43" s="2"/>
      <c r="AH43" s="2"/>
      <c r="AI43" s="2"/>
      <c r="AJ43" s="2"/>
      <c r="AK43" s="2"/>
      <c r="AL43" s="2"/>
      <c r="AM43" s="2"/>
      <c r="AN43" s="2"/>
      <c r="AO43" s="2"/>
      <c r="AP43" s="2"/>
      <c r="AQ43" s="2"/>
      <c r="AR43" s="2"/>
      <c r="AS43" s="2"/>
      <c r="AT43" s="2"/>
      <c r="AU43" s="2"/>
      <c r="AV43" s="2"/>
      <c r="AW43" s="2"/>
      <c r="AX43" s="2"/>
      <c r="AY43" s="2"/>
    </row>
    <row r="44" spans="1:51" ht="12.75" customHeight="1">
      <c r="A44" s="496"/>
      <c r="B44" s="496"/>
      <c r="C44" s="496"/>
      <c r="D44" s="496"/>
      <c r="E44" s="496"/>
      <c r="F44" s="59"/>
      <c r="G44" s="495"/>
      <c r="H44" s="495"/>
      <c r="I44" s="495"/>
      <c r="J44" s="495"/>
      <c r="K44" s="495"/>
      <c r="L44" s="60"/>
      <c r="M44" s="495"/>
      <c r="N44" s="495"/>
      <c r="O44" s="495"/>
      <c r="P44" s="495"/>
      <c r="Q44" s="495"/>
      <c r="R44" s="57"/>
      <c r="S44" s="57"/>
      <c r="T44" s="57"/>
      <c r="U44" s="57"/>
      <c r="V44" s="57"/>
      <c r="W44" s="57"/>
      <c r="X44" s="57"/>
      <c r="Y44" s="57"/>
      <c r="Z44" s="57"/>
      <c r="AA44" s="57"/>
      <c r="AB44" s="57"/>
      <c r="AC44" s="2"/>
      <c r="AD44" s="2"/>
      <c r="AE44" s="2"/>
      <c r="AF44" s="2"/>
      <c r="AG44" s="2"/>
      <c r="AH44" s="2"/>
      <c r="AI44" s="2"/>
      <c r="AJ44" s="2"/>
      <c r="AK44" s="2"/>
      <c r="AL44" s="2"/>
      <c r="AM44" s="2"/>
      <c r="AN44" s="2"/>
      <c r="AO44" s="2"/>
      <c r="AP44" s="2"/>
      <c r="AQ44" s="2"/>
      <c r="AR44" s="2"/>
      <c r="AS44" s="2"/>
      <c r="AT44" s="2"/>
      <c r="AU44" s="2"/>
      <c r="AV44" s="2"/>
      <c r="AW44" s="2"/>
      <c r="AX44" s="2"/>
      <c r="AY44" s="2"/>
    </row>
    <row r="45" spans="1:51" ht="12.75" customHeight="1">
      <c r="A45" s="496"/>
      <c r="B45" s="496"/>
      <c r="C45" s="496"/>
      <c r="D45" s="496"/>
      <c r="E45" s="496"/>
      <c r="F45" s="59"/>
      <c r="G45" s="495"/>
      <c r="H45" s="495"/>
      <c r="I45" s="495"/>
      <c r="J45" s="495"/>
      <c r="K45" s="495"/>
      <c r="L45" s="60"/>
      <c r="M45" s="495"/>
      <c r="N45" s="495"/>
      <c r="O45" s="495"/>
      <c r="P45" s="495"/>
      <c r="Q45" s="495"/>
      <c r="R45" s="57"/>
      <c r="S45" s="57"/>
      <c r="T45" s="57"/>
      <c r="U45" s="57"/>
      <c r="V45" s="57"/>
      <c r="W45" s="57"/>
      <c r="X45" s="57"/>
      <c r="Y45" s="57"/>
      <c r="Z45" s="57"/>
      <c r="AA45" s="57"/>
      <c r="AB45" s="57"/>
      <c r="AC45" s="2"/>
      <c r="AD45" s="2"/>
      <c r="AE45" s="2"/>
      <c r="AF45" s="2"/>
      <c r="AG45" s="2"/>
      <c r="AH45" s="2"/>
      <c r="AI45" s="2"/>
      <c r="AJ45" s="2"/>
      <c r="AK45" s="2"/>
      <c r="AL45" s="2"/>
      <c r="AM45" s="2"/>
      <c r="AN45" s="2"/>
      <c r="AO45" s="2"/>
      <c r="AP45" s="2"/>
      <c r="AQ45" s="2"/>
      <c r="AR45" s="2"/>
      <c r="AS45" s="2"/>
      <c r="AT45" s="2"/>
      <c r="AU45" s="2"/>
      <c r="AV45" s="2"/>
      <c r="AW45" s="2"/>
      <c r="AX45" s="2"/>
      <c r="AY45" s="2"/>
    </row>
    <row r="46" spans="1:51" ht="12.75" customHeight="1">
      <c r="A46" s="496"/>
      <c r="B46" s="496"/>
      <c r="C46" s="496"/>
      <c r="D46" s="496"/>
      <c r="E46" s="496"/>
      <c r="F46" s="59"/>
      <c r="G46" s="495"/>
      <c r="H46" s="495"/>
      <c r="I46" s="495"/>
      <c r="J46" s="495"/>
      <c r="K46" s="495"/>
      <c r="L46" s="60"/>
      <c r="M46" s="495"/>
      <c r="N46" s="495"/>
      <c r="O46" s="495"/>
      <c r="P46" s="495"/>
      <c r="Q46" s="495"/>
      <c r="R46" s="57"/>
      <c r="S46" s="57"/>
      <c r="T46" s="57"/>
      <c r="U46" s="57"/>
      <c r="V46" s="57"/>
      <c r="W46" s="57"/>
      <c r="X46" s="57"/>
      <c r="Y46" s="57"/>
      <c r="Z46" s="57"/>
      <c r="AA46" s="57"/>
      <c r="AB46" s="57"/>
      <c r="AC46" s="2"/>
      <c r="AD46" s="2"/>
      <c r="AE46" s="2"/>
      <c r="AF46" s="2"/>
      <c r="AG46" s="2"/>
      <c r="AH46" s="2"/>
      <c r="AI46" s="2"/>
      <c r="AJ46" s="2"/>
      <c r="AK46" s="2"/>
      <c r="AL46" s="2"/>
      <c r="AM46" s="2"/>
      <c r="AN46" s="2"/>
      <c r="AO46" s="2"/>
      <c r="AP46" s="2"/>
      <c r="AQ46" s="2"/>
      <c r="AR46" s="2"/>
      <c r="AS46" s="2"/>
      <c r="AT46" s="2"/>
      <c r="AU46" s="2"/>
      <c r="AV46" s="2"/>
      <c r="AW46" s="2"/>
      <c r="AX46" s="2"/>
      <c r="AY46" s="2"/>
    </row>
    <row r="47" spans="1:50" ht="12.75">
      <c r="A47" s="61" t="s">
        <v>605</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2"/>
      <c r="AD47" s="2"/>
      <c r="AE47" s="2"/>
      <c r="AF47" s="2"/>
      <c r="AG47" s="2"/>
      <c r="AH47" s="2"/>
      <c r="AI47" s="2"/>
      <c r="AJ47" s="2"/>
      <c r="AK47" s="2"/>
      <c r="AL47" s="2"/>
      <c r="AM47" s="2"/>
      <c r="AN47" s="2"/>
      <c r="AO47" s="2"/>
      <c r="AP47" s="2"/>
      <c r="AQ47" s="2"/>
      <c r="AR47" s="2"/>
      <c r="AS47" s="2"/>
      <c r="AT47" s="2"/>
      <c r="AU47" s="2"/>
      <c r="AV47" s="2"/>
      <c r="AW47" s="2"/>
      <c r="AX47" s="2"/>
    </row>
    <row r="48" spans="1:51" ht="12.7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2"/>
      <c r="AD48" s="2"/>
      <c r="AE48" s="2"/>
      <c r="AF48" s="2"/>
      <c r="AG48" s="2"/>
      <c r="AH48" s="2"/>
      <c r="AI48" s="2"/>
      <c r="AJ48" s="2"/>
      <c r="AK48" s="2"/>
      <c r="AL48" s="2"/>
      <c r="AM48" s="2"/>
      <c r="AN48" s="2"/>
      <c r="AO48" s="2"/>
      <c r="AP48" s="2"/>
      <c r="AQ48" s="2"/>
      <c r="AR48" s="2"/>
      <c r="AS48" s="2"/>
      <c r="AT48" s="2"/>
      <c r="AU48" s="2"/>
      <c r="AV48" s="2"/>
      <c r="AW48" s="2"/>
      <c r="AX48" s="2"/>
      <c r="AY48" s="2"/>
    </row>
    <row r="49" spans="1:51" ht="12.7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2"/>
      <c r="AD49" s="2"/>
      <c r="AE49" s="2"/>
      <c r="AF49" s="2"/>
      <c r="AG49" s="2"/>
      <c r="AH49" s="2"/>
      <c r="AI49" s="2"/>
      <c r="AJ49" s="2"/>
      <c r="AK49" s="2"/>
      <c r="AL49" s="2"/>
      <c r="AM49" s="2"/>
      <c r="AN49" s="2"/>
      <c r="AO49" s="2"/>
      <c r="AP49" s="2"/>
      <c r="AQ49" s="2"/>
      <c r="AR49" s="2"/>
      <c r="AS49" s="2"/>
      <c r="AT49" s="2"/>
      <c r="AU49" s="2"/>
      <c r="AV49" s="2"/>
      <c r="AW49" s="2"/>
      <c r="AX49" s="2"/>
      <c r="AY49" s="2"/>
    </row>
    <row r="50" spans="1:51" ht="13.5">
      <c r="A50" s="57"/>
      <c r="B50" s="57"/>
      <c r="C50" s="57"/>
      <c r="D50" s="57"/>
      <c r="E50" s="57"/>
      <c r="F50" s="57"/>
      <c r="G50" s="10" t="s">
        <v>304</v>
      </c>
      <c r="H50" s="57"/>
      <c r="I50" s="57"/>
      <c r="J50" s="57"/>
      <c r="K50" s="57"/>
      <c r="L50" s="57"/>
      <c r="M50" s="57"/>
      <c r="N50" s="57"/>
      <c r="O50" s="57"/>
      <c r="P50" s="57"/>
      <c r="Q50" s="57"/>
      <c r="R50" s="57"/>
      <c r="S50" s="57"/>
      <c r="T50" s="57"/>
      <c r="U50" s="57"/>
      <c r="V50" s="57"/>
      <c r="W50" s="57"/>
      <c r="X50" s="57"/>
      <c r="Y50" s="57"/>
      <c r="Z50" s="57"/>
      <c r="AA50" s="57"/>
      <c r="AB50" s="57"/>
      <c r="AC50" s="2"/>
      <c r="AD50" s="2"/>
      <c r="AE50" s="2"/>
      <c r="AF50" s="2"/>
      <c r="AG50" s="2"/>
      <c r="AH50" s="2"/>
      <c r="AI50" s="2"/>
      <c r="AJ50" s="2"/>
      <c r="AK50" s="2"/>
      <c r="AL50" s="2"/>
      <c r="AM50" s="2"/>
      <c r="AN50" s="2"/>
      <c r="AO50" s="2"/>
      <c r="AP50" s="2"/>
      <c r="AQ50" s="2"/>
      <c r="AR50" s="2"/>
      <c r="AS50" s="2"/>
      <c r="AT50" s="2"/>
      <c r="AU50" s="2"/>
      <c r="AV50" s="2"/>
      <c r="AW50" s="2"/>
      <c r="AX50" s="2"/>
      <c r="AY50" s="2"/>
    </row>
    <row r="51" spans="1:51" ht="13.5">
      <c r="A51" s="57"/>
      <c r="B51" s="57"/>
      <c r="C51" s="57"/>
      <c r="D51" s="57"/>
      <c r="E51" s="57"/>
      <c r="F51" s="57"/>
      <c r="G51" s="10" t="s">
        <v>305</v>
      </c>
      <c r="H51" s="57"/>
      <c r="I51" s="57"/>
      <c r="J51" s="57"/>
      <c r="K51" s="57"/>
      <c r="L51" s="57"/>
      <c r="M51" s="57"/>
      <c r="N51" s="57"/>
      <c r="O51" s="57"/>
      <c r="P51" s="57"/>
      <c r="Q51" s="57"/>
      <c r="R51" s="57"/>
      <c r="S51" s="57"/>
      <c r="T51" s="57"/>
      <c r="U51" s="57"/>
      <c r="V51" s="57"/>
      <c r="W51" s="57"/>
      <c r="X51" s="57"/>
      <c r="Y51" s="57"/>
      <c r="Z51" s="57"/>
      <c r="AA51" s="57"/>
      <c r="AB51" s="57"/>
      <c r="AC51" s="2"/>
      <c r="AD51" s="2"/>
      <c r="AE51" s="2"/>
      <c r="AF51" s="2"/>
      <c r="AG51" s="2"/>
      <c r="AH51" s="2"/>
      <c r="AI51" s="2"/>
      <c r="AJ51" s="2"/>
      <c r="AK51" s="2"/>
      <c r="AL51" s="2"/>
      <c r="AM51" s="2"/>
      <c r="AN51" s="2"/>
      <c r="AO51" s="2"/>
      <c r="AP51" s="2"/>
      <c r="AQ51" s="2"/>
      <c r="AR51" s="2"/>
      <c r="AS51" s="2"/>
      <c r="AT51" s="2"/>
      <c r="AU51" s="2"/>
      <c r="AV51" s="2"/>
      <c r="AW51" s="2"/>
      <c r="AX51" s="2"/>
      <c r="AY51" s="2"/>
    </row>
    <row r="52" spans="1:51" ht="13.5">
      <c r="A52" s="57"/>
      <c r="B52" s="57"/>
      <c r="C52" s="57"/>
      <c r="D52" s="57"/>
      <c r="E52" s="57"/>
      <c r="F52" s="57"/>
      <c r="G52" s="10"/>
      <c r="H52" s="57"/>
      <c r="I52" s="57"/>
      <c r="J52" s="57"/>
      <c r="K52" s="57"/>
      <c r="L52" s="57"/>
      <c r="M52" s="57"/>
      <c r="N52" s="57"/>
      <c r="O52" s="57"/>
      <c r="P52" s="57"/>
      <c r="Q52" s="57"/>
      <c r="R52" s="57"/>
      <c r="S52" s="57"/>
      <c r="T52" s="57"/>
      <c r="U52" s="57"/>
      <c r="V52" s="57"/>
      <c r="W52" s="57"/>
      <c r="X52" s="57"/>
      <c r="Y52" s="57"/>
      <c r="Z52" s="57"/>
      <c r="AA52" s="57"/>
      <c r="AB52" s="57"/>
      <c r="AC52" s="2"/>
      <c r="AD52" s="2"/>
      <c r="AE52" s="2"/>
      <c r="AF52" s="2"/>
      <c r="AG52" s="2"/>
      <c r="AH52" s="2"/>
      <c r="AI52" s="2"/>
      <c r="AJ52" s="2"/>
      <c r="AK52" s="2"/>
      <c r="AL52" s="2"/>
      <c r="AM52" s="2"/>
      <c r="AN52" s="2"/>
      <c r="AO52" s="2"/>
      <c r="AP52" s="2"/>
      <c r="AQ52" s="2"/>
      <c r="AR52" s="2"/>
      <c r="AS52" s="2"/>
      <c r="AT52" s="2"/>
      <c r="AU52" s="2"/>
      <c r="AV52" s="2"/>
      <c r="AW52" s="2"/>
      <c r="AX52" s="2"/>
      <c r="AY52" s="2"/>
    </row>
    <row r="53" spans="1:51" ht="13.5">
      <c r="A53" s="57"/>
      <c r="B53" s="57"/>
      <c r="C53" s="57"/>
      <c r="D53" s="57"/>
      <c r="E53" s="57"/>
      <c r="F53" s="57"/>
      <c r="G53" s="10" t="s">
        <v>294</v>
      </c>
      <c r="H53" s="57"/>
      <c r="I53" s="57"/>
      <c r="J53" s="57"/>
      <c r="K53" s="57"/>
      <c r="L53" s="57"/>
      <c r="M53" s="57"/>
      <c r="N53" s="57"/>
      <c r="O53" s="57"/>
      <c r="P53" s="57"/>
      <c r="Q53" s="57"/>
      <c r="R53" s="57"/>
      <c r="S53" s="57"/>
      <c r="T53" s="57"/>
      <c r="U53" s="57"/>
      <c r="V53" s="57"/>
      <c r="W53" s="57"/>
      <c r="X53" s="57"/>
      <c r="Y53" s="57"/>
      <c r="Z53" s="57"/>
      <c r="AA53" s="57"/>
      <c r="AB53" s="57"/>
      <c r="AC53" s="2"/>
      <c r="AD53" s="2"/>
      <c r="AE53" s="2"/>
      <c r="AF53" s="2"/>
      <c r="AG53" s="2"/>
      <c r="AH53" s="2"/>
      <c r="AI53" s="2"/>
      <c r="AJ53" s="2"/>
      <c r="AK53" s="2"/>
      <c r="AL53" s="2"/>
      <c r="AM53" s="2"/>
      <c r="AN53" s="2"/>
      <c r="AO53" s="2"/>
      <c r="AP53" s="2"/>
      <c r="AQ53" s="2"/>
      <c r="AR53" s="2"/>
      <c r="AS53" s="2"/>
      <c r="AT53" s="2"/>
      <c r="AU53" s="2"/>
      <c r="AV53" s="2"/>
      <c r="AW53" s="2"/>
      <c r="AX53" s="2"/>
      <c r="AY53" s="2"/>
    </row>
    <row r="54" spans="1:51" ht="13.5">
      <c r="A54" s="57"/>
      <c r="B54" s="57"/>
      <c r="C54" s="57"/>
      <c r="D54" s="57"/>
      <c r="E54" s="57"/>
      <c r="F54" s="57"/>
      <c r="G54" s="10" t="s">
        <v>295</v>
      </c>
      <c r="H54" s="57"/>
      <c r="I54" s="57"/>
      <c r="J54" s="57"/>
      <c r="K54" s="57"/>
      <c r="L54" s="57"/>
      <c r="M54" s="57"/>
      <c r="N54" s="57"/>
      <c r="O54" s="57"/>
      <c r="P54" s="57"/>
      <c r="Q54" s="57"/>
      <c r="R54" s="57"/>
      <c r="S54" s="57"/>
      <c r="T54" s="57"/>
      <c r="U54" s="57"/>
      <c r="V54" s="57"/>
      <c r="W54" s="57"/>
      <c r="X54" s="57"/>
      <c r="Y54" s="57"/>
      <c r="Z54" s="57"/>
      <c r="AA54" s="57"/>
      <c r="AB54" s="57"/>
      <c r="AC54" s="2"/>
      <c r="AD54" s="2"/>
      <c r="AE54" s="2"/>
      <c r="AF54" s="2"/>
      <c r="AG54" s="2"/>
      <c r="AH54" s="2"/>
      <c r="AI54" s="2"/>
      <c r="AJ54" s="2"/>
      <c r="AK54" s="2"/>
      <c r="AL54" s="2"/>
      <c r="AM54" s="2"/>
      <c r="AN54" s="2"/>
      <c r="AO54" s="2"/>
      <c r="AP54" s="2"/>
      <c r="AQ54" s="2"/>
      <c r="AR54" s="2"/>
      <c r="AS54" s="2"/>
      <c r="AT54" s="2"/>
      <c r="AU54" s="2"/>
      <c r="AV54" s="2"/>
      <c r="AW54" s="2"/>
      <c r="AX54" s="2"/>
      <c r="AY54" s="2"/>
    </row>
    <row r="55" spans="1:51" ht="12.7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2"/>
      <c r="AD55" s="2"/>
      <c r="AE55" s="2"/>
      <c r="AF55" s="2"/>
      <c r="AG55" s="2"/>
      <c r="AH55" s="2"/>
      <c r="AI55" s="2"/>
      <c r="AJ55" s="2"/>
      <c r="AK55" s="2"/>
      <c r="AL55" s="2"/>
      <c r="AM55" s="2"/>
      <c r="AN55" s="2"/>
      <c r="AO55" s="2"/>
      <c r="AP55" s="2"/>
      <c r="AQ55" s="2"/>
      <c r="AR55" s="2"/>
      <c r="AS55" s="2"/>
      <c r="AT55" s="2"/>
      <c r="AU55" s="2"/>
      <c r="AV55" s="2"/>
      <c r="AW55" s="2"/>
      <c r="AX55" s="2"/>
      <c r="AY55" s="2"/>
    </row>
    <row r="56" spans="1:51" ht="12.7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2"/>
      <c r="AD56" s="2"/>
      <c r="AE56" s="2"/>
      <c r="AF56" s="2"/>
      <c r="AG56" s="2"/>
      <c r="AH56" s="2"/>
      <c r="AI56" s="2"/>
      <c r="AJ56" s="2"/>
      <c r="AK56" s="2"/>
      <c r="AL56" s="2"/>
      <c r="AM56" s="2"/>
      <c r="AN56" s="2"/>
      <c r="AO56" s="2"/>
      <c r="AP56" s="2"/>
      <c r="AQ56" s="2"/>
      <c r="AR56" s="2"/>
      <c r="AS56" s="2"/>
      <c r="AT56" s="2"/>
      <c r="AU56" s="2"/>
      <c r="AV56" s="2"/>
      <c r="AW56" s="2"/>
      <c r="AX56" s="2"/>
      <c r="AY56" s="2"/>
    </row>
    <row r="57" spans="1:51" ht="12.7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2"/>
      <c r="AD57" s="2"/>
      <c r="AE57" s="2"/>
      <c r="AF57" s="2"/>
      <c r="AG57" s="2"/>
      <c r="AH57" s="2"/>
      <c r="AI57" s="2"/>
      <c r="AJ57" s="2"/>
      <c r="AK57" s="2"/>
      <c r="AL57" s="2"/>
      <c r="AM57" s="2"/>
      <c r="AN57" s="2"/>
      <c r="AO57" s="2"/>
      <c r="AP57" s="2"/>
      <c r="AQ57" s="2"/>
      <c r="AR57" s="2"/>
      <c r="AS57" s="2"/>
      <c r="AT57" s="2"/>
      <c r="AU57" s="2"/>
      <c r="AV57" s="2"/>
      <c r="AW57" s="2"/>
      <c r="AX57" s="2"/>
      <c r="AY57" s="2"/>
    </row>
    <row r="58" spans="1:51" ht="12.7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2"/>
      <c r="AD58" s="2"/>
      <c r="AE58" s="2"/>
      <c r="AF58" s="2"/>
      <c r="AG58" s="2"/>
      <c r="AH58" s="2"/>
      <c r="AI58" s="2"/>
      <c r="AJ58" s="2"/>
      <c r="AK58" s="2"/>
      <c r="AL58" s="2"/>
      <c r="AM58" s="2"/>
      <c r="AN58" s="2"/>
      <c r="AO58" s="2"/>
      <c r="AP58" s="2"/>
      <c r="AQ58" s="2"/>
      <c r="AR58" s="2"/>
      <c r="AS58" s="2"/>
      <c r="AT58" s="2"/>
      <c r="AU58" s="2"/>
      <c r="AV58" s="2"/>
      <c r="AW58" s="2"/>
      <c r="AX58" s="2"/>
      <c r="AY58" s="2"/>
    </row>
    <row r="59" spans="1:51" ht="12.7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2"/>
      <c r="AD59" s="2"/>
      <c r="AE59" s="2"/>
      <c r="AF59" s="2"/>
      <c r="AG59" s="2"/>
      <c r="AH59" s="2"/>
      <c r="AI59" s="2"/>
      <c r="AJ59" s="2"/>
      <c r="AK59" s="2"/>
      <c r="AL59" s="2"/>
      <c r="AM59" s="2"/>
      <c r="AN59" s="2"/>
      <c r="AO59" s="2"/>
      <c r="AP59" s="2"/>
      <c r="AQ59" s="2"/>
      <c r="AR59" s="2"/>
      <c r="AS59" s="2"/>
      <c r="AT59" s="2"/>
      <c r="AU59" s="2"/>
      <c r="AV59" s="2"/>
      <c r="AW59" s="2"/>
      <c r="AX59" s="2"/>
      <c r="AY59" s="2"/>
    </row>
    <row r="60" spans="1:51" ht="12.7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2"/>
      <c r="AD60" s="2"/>
      <c r="AE60" s="2"/>
      <c r="AF60" s="2"/>
      <c r="AG60" s="2"/>
      <c r="AH60" s="2"/>
      <c r="AI60" s="2"/>
      <c r="AJ60" s="2"/>
      <c r="AK60" s="2"/>
      <c r="AL60" s="2"/>
      <c r="AM60" s="2"/>
      <c r="AN60" s="2"/>
      <c r="AO60" s="2"/>
      <c r="AP60" s="2"/>
      <c r="AQ60" s="2"/>
      <c r="AR60" s="2"/>
      <c r="AS60" s="2"/>
      <c r="AT60" s="2"/>
      <c r="AU60" s="2"/>
      <c r="AV60" s="2"/>
      <c r="AW60" s="2"/>
      <c r="AX60" s="2"/>
      <c r="AY60" s="2"/>
    </row>
    <row r="61" spans="1:51" ht="12.7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2"/>
      <c r="AD61" s="2"/>
      <c r="AE61" s="2"/>
      <c r="AF61" s="2"/>
      <c r="AG61" s="2"/>
      <c r="AH61" s="2"/>
      <c r="AI61" s="2"/>
      <c r="AJ61" s="2"/>
      <c r="AK61" s="2"/>
      <c r="AL61" s="2"/>
      <c r="AM61" s="2"/>
      <c r="AN61" s="2"/>
      <c r="AO61" s="2"/>
      <c r="AP61" s="2"/>
      <c r="AQ61" s="2"/>
      <c r="AR61" s="2"/>
      <c r="AS61" s="2"/>
      <c r="AT61" s="2"/>
      <c r="AU61" s="2"/>
      <c r="AV61" s="2"/>
      <c r="AW61" s="2"/>
      <c r="AX61" s="2"/>
      <c r="AY61" s="2"/>
    </row>
    <row r="62" spans="1:51" ht="12.7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2"/>
      <c r="AD62" s="2"/>
      <c r="AE62" s="2"/>
      <c r="AF62" s="2"/>
      <c r="AG62" s="2"/>
      <c r="AH62" s="2"/>
      <c r="AI62" s="2"/>
      <c r="AJ62" s="2"/>
      <c r="AK62" s="2"/>
      <c r="AL62" s="2"/>
      <c r="AM62" s="2"/>
      <c r="AN62" s="2"/>
      <c r="AO62" s="2"/>
      <c r="AP62" s="2"/>
      <c r="AQ62" s="2"/>
      <c r="AR62" s="2"/>
      <c r="AS62" s="2"/>
      <c r="AT62" s="2"/>
      <c r="AU62" s="2"/>
      <c r="AV62" s="2"/>
      <c r="AW62" s="2"/>
      <c r="AX62" s="2"/>
      <c r="AY62" s="2"/>
    </row>
    <row r="63" spans="1:51" ht="12.7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2"/>
      <c r="AD63" s="2"/>
      <c r="AE63" s="2"/>
      <c r="AF63" s="2"/>
      <c r="AG63" s="2"/>
      <c r="AH63" s="2"/>
      <c r="AI63" s="2"/>
      <c r="AJ63" s="2"/>
      <c r="AK63" s="2"/>
      <c r="AL63" s="2"/>
      <c r="AM63" s="2"/>
      <c r="AN63" s="2"/>
      <c r="AO63" s="2"/>
      <c r="AP63" s="2"/>
      <c r="AQ63" s="2"/>
      <c r="AR63" s="2"/>
      <c r="AS63" s="2"/>
      <c r="AT63" s="2"/>
      <c r="AU63" s="2"/>
      <c r="AV63" s="2"/>
      <c r="AW63" s="2"/>
      <c r="AX63" s="2"/>
      <c r="AY63" s="2"/>
    </row>
    <row r="64" spans="1:51" ht="12.7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2"/>
      <c r="AD64" s="2"/>
      <c r="AE64" s="2"/>
      <c r="AF64" s="2"/>
      <c r="AG64" s="2"/>
      <c r="AH64" s="2"/>
      <c r="AI64" s="2"/>
      <c r="AJ64" s="2"/>
      <c r="AK64" s="2"/>
      <c r="AL64" s="2"/>
      <c r="AM64" s="2"/>
      <c r="AN64" s="2"/>
      <c r="AO64" s="2"/>
      <c r="AP64" s="2"/>
      <c r="AQ64" s="2"/>
      <c r="AR64" s="2"/>
      <c r="AS64" s="2"/>
      <c r="AT64" s="2"/>
      <c r="AU64" s="2"/>
      <c r="AV64" s="2"/>
      <c r="AW64" s="2"/>
      <c r="AX64" s="2"/>
      <c r="AY64" s="2"/>
    </row>
    <row r="65" spans="1:51" ht="12.7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2"/>
      <c r="AD65" s="2"/>
      <c r="AE65" s="2"/>
      <c r="AF65" s="2"/>
      <c r="AG65" s="2"/>
      <c r="AH65" s="2"/>
      <c r="AI65" s="2"/>
      <c r="AJ65" s="2"/>
      <c r="AK65" s="2"/>
      <c r="AL65" s="2"/>
      <c r="AM65" s="2"/>
      <c r="AN65" s="2"/>
      <c r="AO65" s="2"/>
      <c r="AP65" s="2"/>
      <c r="AQ65" s="2"/>
      <c r="AR65" s="2"/>
      <c r="AS65" s="2"/>
      <c r="AT65" s="2"/>
      <c r="AU65" s="2"/>
      <c r="AV65" s="2"/>
      <c r="AW65" s="2"/>
      <c r="AX65" s="2"/>
      <c r="AY65" s="2"/>
    </row>
    <row r="66" spans="1:51" ht="12.7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2"/>
      <c r="AD66" s="2"/>
      <c r="AE66" s="2"/>
      <c r="AF66" s="2"/>
      <c r="AG66" s="2"/>
      <c r="AH66" s="2"/>
      <c r="AI66" s="2"/>
      <c r="AJ66" s="2"/>
      <c r="AK66" s="2"/>
      <c r="AL66" s="2"/>
      <c r="AM66" s="2"/>
      <c r="AN66" s="2"/>
      <c r="AO66" s="2"/>
      <c r="AP66" s="2"/>
      <c r="AQ66" s="2"/>
      <c r="AR66" s="2"/>
      <c r="AS66" s="2"/>
      <c r="AT66" s="2"/>
      <c r="AU66" s="2"/>
      <c r="AV66" s="2"/>
      <c r="AW66" s="2"/>
      <c r="AX66" s="2"/>
      <c r="AY66" s="2"/>
    </row>
    <row r="67" spans="1:51" ht="12.7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2"/>
      <c r="AD67" s="2"/>
      <c r="AE67" s="2"/>
      <c r="AF67" s="2"/>
      <c r="AG67" s="2"/>
      <c r="AH67" s="2"/>
      <c r="AI67" s="2"/>
      <c r="AJ67" s="2"/>
      <c r="AK67" s="2"/>
      <c r="AL67" s="2"/>
      <c r="AM67" s="2"/>
      <c r="AN67" s="2"/>
      <c r="AO67" s="2"/>
      <c r="AP67" s="2"/>
      <c r="AQ67" s="2"/>
      <c r="AR67" s="2"/>
      <c r="AS67" s="2"/>
      <c r="AT67" s="2"/>
      <c r="AU67" s="2"/>
      <c r="AV67" s="2"/>
      <c r="AW67" s="2"/>
      <c r="AX67" s="2"/>
      <c r="AY67" s="2"/>
    </row>
    <row r="68" spans="1:51" ht="12.7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2"/>
      <c r="AD68" s="2"/>
      <c r="AE68" s="2"/>
      <c r="AF68" s="2"/>
      <c r="AG68" s="2"/>
      <c r="AH68" s="2"/>
      <c r="AI68" s="2"/>
      <c r="AJ68" s="2"/>
      <c r="AK68" s="2"/>
      <c r="AL68" s="2"/>
      <c r="AM68" s="2"/>
      <c r="AN68" s="2"/>
      <c r="AO68" s="2"/>
      <c r="AP68" s="2"/>
      <c r="AQ68" s="2"/>
      <c r="AR68" s="2"/>
      <c r="AS68" s="2"/>
      <c r="AT68" s="2"/>
      <c r="AU68" s="2"/>
      <c r="AV68" s="2"/>
      <c r="AW68" s="2"/>
      <c r="AX68" s="2"/>
      <c r="AY68" s="2"/>
    </row>
    <row r="69" spans="1:51" ht="12.7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2"/>
      <c r="AD69" s="2"/>
      <c r="AE69" s="2"/>
      <c r="AF69" s="2"/>
      <c r="AG69" s="2"/>
      <c r="AH69" s="2"/>
      <c r="AI69" s="2"/>
      <c r="AJ69" s="2"/>
      <c r="AK69" s="2"/>
      <c r="AL69" s="2"/>
      <c r="AM69" s="2"/>
      <c r="AN69" s="2"/>
      <c r="AO69" s="2"/>
      <c r="AP69" s="2"/>
      <c r="AQ69" s="2"/>
      <c r="AR69" s="2"/>
      <c r="AS69" s="2"/>
      <c r="AT69" s="2"/>
      <c r="AU69" s="2"/>
      <c r="AV69" s="2"/>
      <c r="AW69" s="2"/>
      <c r="AX69" s="2"/>
      <c r="AY69" s="2"/>
    </row>
    <row r="70" spans="1:51" ht="12.7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2"/>
      <c r="AD70" s="2"/>
      <c r="AE70" s="2"/>
      <c r="AF70" s="2"/>
      <c r="AG70" s="2"/>
      <c r="AH70" s="2"/>
      <c r="AI70" s="2"/>
      <c r="AJ70" s="2"/>
      <c r="AK70" s="2"/>
      <c r="AL70" s="2"/>
      <c r="AM70" s="2"/>
      <c r="AN70" s="2"/>
      <c r="AO70" s="2"/>
      <c r="AP70" s="2"/>
      <c r="AQ70" s="2"/>
      <c r="AR70" s="2"/>
      <c r="AS70" s="2"/>
      <c r="AT70" s="2"/>
      <c r="AU70" s="2"/>
      <c r="AV70" s="2"/>
      <c r="AW70" s="2"/>
      <c r="AX70" s="2"/>
      <c r="AY70" s="2"/>
    </row>
    <row r="71" spans="1:51" ht="12.7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2"/>
      <c r="AD71" s="2"/>
      <c r="AE71" s="2"/>
      <c r="AF71" s="2"/>
      <c r="AG71" s="2"/>
      <c r="AH71" s="2"/>
      <c r="AI71" s="2"/>
      <c r="AJ71" s="2"/>
      <c r="AK71" s="2"/>
      <c r="AL71" s="2"/>
      <c r="AM71" s="2"/>
      <c r="AN71" s="2"/>
      <c r="AO71" s="2"/>
      <c r="AP71" s="2"/>
      <c r="AQ71" s="2"/>
      <c r="AR71" s="2"/>
      <c r="AS71" s="2"/>
      <c r="AT71" s="2"/>
      <c r="AU71" s="2"/>
      <c r="AV71" s="2"/>
      <c r="AW71" s="2"/>
      <c r="AX71" s="2"/>
      <c r="AY71" s="2"/>
    </row>
    <row r="72" spans="1:51" ht="12.7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2"/>
      <c r="AD72" s="2"/>
      <c r="AE72" s="2"/>
      <c r="AF72" s="2"/>
      <c r="AG72" s="2"/>
      <c r="AH72" s="2"/>
      <c r="AI72" s="2"/>
      <c r="AJ72" s="2"/>
      <c r="AK72" s="2"/>
      <c r="AL72" s="2"/>
      <c r="AM72" s="2"/>
      <c r="AN72" s="2"/>
      <c r="AO72" s="2"/>
      <c r="AP72" s="2"/>
      <c r="AQ72" s="2"/>
      <c r="AR72" s="2"/>
      <c r="AS72" s="2"/>
      <c r="AT72" s="2"/>
      <c r="AU72" s="2"/>
      <c r="AV72" s="2"/>
      <c r="AW72" s="2"/>
      <c r="AX72" s="2"/>
      <c r="AY72" s="2"/>
    </row>
    <row r="73" spans="1:51" ht="12.7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2"/>
      <c r="AD73" s="2"/>
      <c r="AE73" s="2"/>
      <c r="AF73" s="2"/>
      <c r="AG73" s="2"/>
      <c r="AH73" s="2"/>
      <c r="AI73" s="2"/>
      <c r="AJ73" s="2"/>
      <c r="AK73" s="2"/>
      <c r="AL73" s="2"/>
      <c r="AM73" s="2"/>
      <c r="AN73" s="2"/>
      <c r="AO73" s="2"/>
      <c r="AP73" s="2"/>
      <c r="AQ73" s="2"/>
      <c r="AR73" s="2"/>
      <c r="AS73" s="2"/>
      <c r="AT73" s="2"/>
      <c r="AU73" s="2"/>
      <c r="AV73" s="2"/>
      <c r="AW73" s="2"/>
      <c r="AX73" s="2"/>
      <c r="AY73" s="2"/>
    </row>
    <row r="74" spans="1:51" ht="12.7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2"/>
      <c r="AD74" s="2"/>
      <c r="AE74" s="2"/>
      <c r="AF74" s="2"/>
      <c r="AG74" s="2"/>
      <c r="AH74" s="2"/>
      <c r="AI74" s="2"/>
      <c r="AJ74" s="2"/>
      <c r="AK74" s="2"/>
      <c r="AL74" s="2"/>
      <c r="AM74" s="2"/>
      <c r="AN74" s="2"/>
      <c r="AO74" s="2"/>
      <c r="AP74" s="2"/>
      <c r="AQ74" s="2"/>
      <c r="AR74" s="2"/>
      <c r="AS74" s="2"/>
      <c r="AT74" s="2"/>
      <c r="AU74" s="2"/>
      <c r="AV74" s="2"/>
      <c r="AW74" s="2"/>
      <c r="AX74" s="2"/>
      <c r="AY74" s="2"/>
    </row>
    <row r="75" spans="1:51" ht="12.7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2"/>
      <c r="AD75" s="2"/>
      <c r="AE75" s="2"/>
      <c r="AF75" s="2"/>
      <c r="AG75" s="2"/>
      <c r="AH75" s="2"/>
      <c r="AI75" s="2"/>
      <c r="AJ75" s="2"/>
      <c r="AK75" s="2"/>
      <c r="AL75" s="2"/>
      <c r="AM75" s="2"/>
      <c r="AN75" s="2"/>
      <c r="AO75" s="2"/>
      <c r="AP75" s="2"/>
      <c r="AQ75" s="2"/>
      <c r="AR75" s="2"/>
      <c r="AS75" s="2"/>
      <c r="AT75" s="2"/>
      <c r="AU75" s="2"/>
      <c r="AV75" s="2"/>
      <c r="AW75" s="2"/>
      <c r="AX75" s="2"/>
      <c r="AY75" s="2"/>
    </row>
    <row r="76" spans="1:51" ht="12.7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2"/>
      <c r="AD76" s="2"/>
      <c r="AE76" s="2"/>
      <c r="AF76" s="2"/>
      <c r="AG76" s="2"/>
      <c r="AH76" s="2"/>
      <c r="AI76" s="2"/>
      <c r="AJ76" s="2"/>
      <c r="AK76" s="2"/>
      <c r="AL76" s="2"/>
      <c r="AM76" s="2"/>
      <c r="AN76" s="2"/>
      <c r="AO76" s="2"/>
      <c r="AP76" s="2"/>
      <c r="AQ76" s="2"/>
      <c r="AR76" s="2"/>
      <c r="AS76" s="2"/>
      <c r="AT76" s="2"/>
      <c r="AU76" s="2"/>
      <c r="AV76" s="2"/>
      <c r="AW76" s="2"/>
      <c r="AX76" s="2"/>
      <c r="AY76" s="2"/>
    </row>
    <row r="77" spans="1:51" ht="12.7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2"/>
      <c r="AD77" s="2"/>
      <c r="AE77" s="2"/>
      <c r="AF77" s="2"/>
      <c r="AG77" s="2"/>
      <c r="AH77" s="2"/>
      <c r="AI77" s="2"/>
      <c r="AJ77" s="2"/>
      <c r="AK77" s="2"/>
      <c r="AL77" s="2"/>
      <c r="AM77" s="2"/>
      <c r="AN77" s="2"/>
      <c r="AO77" s="2"/>
      <c r="AP77" s="2"/>
      <c r="AQ77" s="2"/>
      <c r="AR77" s="2"/>
      <c r="AS77" s="2"/>
      <c r="AT77" s="2"/>
      <c r="AU77" s="2"/>
      <c r="AV77" s="2"/>
      <c r="AW77" s="2"/>
      <c r="AX77" s="2"/>
      <c r="AY77" s="2"/>
    </row>
    <row r="78" spans="1:51" ht="12.7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2"/>
      <c r="AD78" s="2"/>
      <c r="AE78" s="2"/>
      <c r="AF78" s="2"/>
      <c r="AG78" s="2"/>
      <c r="AH78" s="2"/>
      <c r="AI78" s="2"/>
      <c r="AJ78" s="2"/>
      <c r="AK78" s="2"/>
      <c r="AL78" s="2"/>
      <c r="AM78" s="2"/>
      <c r="AN78" s="2"/>
      <c r="AO78" s="2"/>
      <c r="AP78" s="2"/>
      <c r="AQ78" s="2"/>
      <c r="AR78" s="2"/>
      <c r="AS78" s="2"/>
      <c r="AT78" s="2"/>
      <c r="AU78" s="2"/>
      <c r="AV78" s="2"/>
      <c r="AW78" s="2"/>
      <c r="AX78" s="2"/>
      <c r="AY78" s="2"/>
    </row>
    <row r="79" spans="1:51" ht="12.7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2"/>
      <c r="AD79" s="2"/>
      <c r="AE79" s="2"/>
      <c r="AF79" s="2"/>
      <c r="AG79" s="2"/>
      <c r="AH79" s="2"/>
      <c r="AI79" s="2"/>
      <c r="AJ79" s="2"/>
      <c r="AK79" s="2"/>
      <c r="AL79" s="2"/>
      <c r="AM79" s="2"/>
      <c r="AN79" s="2"/>
      <c r="AO79" s="2"/>
      <c r="AP79" s="2"/>
      <c r="AQ79" s="2"/>
      <c r="AR79" s="2"/>
      <c r="AS79" s="2"/>
      <c r="AT79" s="2"/>
      <c r="AU79" s="2"/>
      <c r="AV79" s="2"/>
      <c r="AW79" s="2"/>
      <c r="AX79" s="2"/>
      <c r="AY79" s="2"/>
    </row>
    <row r="80" spans="1:51" ht="12.7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2"/>
      <c r="AD80" s="2"/>
      <c r="AE80" s="2"/>
      <c r="AF80" s="2"/>
      <c r="AG80" s="2"/>
      <c r="AH80" s="2"/>
      <c r="AI80" s="2"/>
      <c r="AJ80" s="2"/>
      <c r="AK80" s="2"/>
      <c r="AL80" s="2"/>
      <c r="AM80" s="2"/>
      <c r="AN80" s="2"/>
      <c r="AO80" s="2"/>
      <c r="AP80" s="2"/>
      <c r="AQ80" s="2"/>
      <c r="AR80" s="2"/>
      <c r="AS80" s="2"/>
      <c r="AT80" s="2"/>
      <c r="AU80" s="2"/>
      <c r="AV80" s="2"/>
      <c r="AW80" s="2"/>
      <c r="AX80" s="2"/>
      <c r="AY80" s="2"/>
    </row>
    <row r="81" spans="1:51" ht="12.7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2"/>
      <c r="AD81" s="2"/>
      <c r="AE81" s="2"/>
      <c r="AF81" s="2"/>
      <c r="AG81" s="2"/>
      <c r="AH81" s="2"/>
      <c r="AI81" s="2"/>
      <c r="AJ81" s="2"/>
      <c r="AK81" s="2"/>
      <c r="AL81" s="2"/>
      <c r="AM81" s="2"/>
      <c r="AN81" s="2"/>
      <c r="AO81" s="2"/>
      <c r="AP81" s="2"/>
      <c r="AQ81" s="2"/>
      <c r="AR81" s="2"/>
      <c r="AS81" s="2"/>
      <c r="AT81" s="2"/>
      <c r="AU81" s="2"/>
      <c r="AV81" s="2"/>
      <c r="AW81" s="2"/>
      <c r="AX81" s="2"/>
      <c r="AY81" s="2"/>
    </row>
    <row r="82" spans="1:51" ht="12.7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2"/>
      <c r="AD82" s="2"/>
      <c r="AE82" s="2"/>
      <c r="AF82" s="2"/>
      <c r="AG82" s="2"/>
      <c r="AH82" s="2"/>
      <c r="AI82" s="2"/>
      <c r="AJ82" s="2"/>
      <c r="AK82" s="2"/>
      <c r="AL82" s="2"/>
      <c r="AM82" s="2"/>
      <c r="AN82" s="2"/>
      <c r="AO82" s="2"/>
      <c r="AP82" s="2"/>
      <c r="AQ82" s="2"/>
      <c r="AR82" s="2"/>
      <c r="AS82" s="2"/>
      <c r="AT82" s="2"/>
      <c r="AU82" s="2"/>
      <c r="AV82" s="2"/>
      <c r="AW82" s="2"/>
      <c r="AX82" s="2"/>
      <c r="AY82" s="2"/>
    </row>
    <row r="83" spans="1:51" ht="12.7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2"/>
      <c r="AD83" s="2"/>
      <c r="AE83" s="2"/>
      <c r="AF83" s="2"/>
      <c r="AG83" s="2"/>
      <c r="AH83" s="2"/>
      <c r="AI83" s="2"/>
      <c r="AJ83" s="2"/>
      <c r="AK83" s="2"/>
      <c r="AL83" s="2"/>
      <c r="AM83" s="2"/>
      <c r="AN83" s="2"/>
      <c r="AO83" s="2"/>
      <c r="AP83" s="2"/>
      <c r="AQ83" s="2"/>
      <c r="AR83" s="2"/>
      <c r="AS83" s="2"/>
      <c r="AT83" s="2"/>
      <c r="AU83" s="2"/>
      <c r="AV83" s="2"/>
      <c r="AW83" s="2"/>
      <c r="AX83" s="2"/>
      <c r="AY83" s="2"/>
    </row>
    <row r="84" spans="1:51" ht="12.7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2"/>
      <c r="AD84" s="2"/>
      <c r="AE84" s="2"/>
      <c r="AF84" s="2"/>
      <c r="AG84" s="2"/>
      <c r="AH84" s="2"/>
      <c r="AI84" s="2"/>
      <c r="AJ84" s="2"/>
      <c r="AK84" s="2"/>
      <c r="AL84" s="2"/>
      <c r="AM84" s="2"/>
      <c r="AN84" s="2"/>
      <c r="AO84" s="2"/>
      <c r="AP84" s="2"/>
      <c r="AQ84" s="2"/>
      <c r="AR84" s="2"/>
      <c r="AS84" s="2"/>
      <c r="AT84" s="2"/>
      <c r="AU84" s="2"/>
      <c r="AV84" s="2"/>
      <c r="AW84" s="2"/>
      <c r="AX84" s="2"/>
      <c r="AY84" s="2"/>
    </row>
    <row r="85" spans="1:51" ht="12.7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2"/>
      <c r="AD85" s="2"/>
      <c r="AE85" s="2"/>
      <c r="AF85" s="2"/>
      <c r="AG85" s="2"/>
      <c r="AH85" s="2"/>
      <c r="AI85" s="2"/>
      <c r="AJ85" s="2"/>
      <c r="AK85" s="2"/>
      <c r="AL85" s="2"/>
      <c r="AM85" s="2"/>
      <c r="AN85" s="2"/>
      <c r="AO85" s="2"/>
      <c r="AP85" s="2"/>
      <c r="AQ85" s="2"/>
      <c r="AR85" s="2"/>
      <c r="AS85" s="2"/>
      <c r="AT85" s="2"/>
      <c r="AU85" s="2"/>
      <c r="AV85" s="2"/>
      <c r="AW85" s="2"/>
      <c r="AX85" s="2"/>
      <c r="AY85" s="2"/>
    </row>
    <row r="86" spans="1:51" ht="12.7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2"/>
      <c r="AD86" s="2"/>
      <c r="AE86" s="2"/>
      <c r="AF86" s="2"/>
      <c r="AG86" s="2"/>
      <c r="AH86" s="2"/>
      <c r="AI86" s="2"/>
      <c r="AJ86" s="2"/>
      <c r="AK86" s="2"/>
      <c r="AL86" s="2"/>
      <c r="AM86" s="2"/>
      <c r="AN86" s="2"/>
      <c r="AO86" s="2"/>
      <c r="AP86" s="2"/>
      <c r="AQ86" s="2"/>
      <c r="AR86" s="2"/>
      <c r="AS86" s="2"/>
      <c r="AT86" s="2"/>
      <c r="AU86" s="2"/>
      <c r="AV86" s="2"/>
      <c r="AW86" s="2"/>
      <c r="AX86" s="2"/>
      <c r="AY86" s="2"/>
    </row>
    <row r="87" spans="1:51" ht="12.7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2"/>
      <c r="AD87" s="2"/>
      <c r="AE87" s="2"/>
      <c r="AF87" s="2"/>
      <c r="AG87" s="2"/>
      <c r="AH87" s="2"/>
      <c r="AI87" s="2"/>
      <c r="AJ87" s="2"/>
      <c r="AK87" s="2"/>
      <c r="AL87" s="2"/>
      <c r="AM87" s="2"/>
      <c r="AN87" s="2"/>
      <c r="AO87" s="2"/>
      <c r="AP87" s="2"/>
      <c r="AQ87" s="2"/>
      <c r="AR87" s="2"/>
      <c r="AS87" s="2"/>
      <c r="AT87" s="2"/>
      <c r="AU87" s="2"/>
      <c r="AV87" s="2"/>
      <c r="AW87" s="2"/>
      <c r="AX87" s="2"/>
      <c r="AY87" s="2"/>
    </row>
    <row r="88" spans="1:51" ht="12.7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2"/>
      <c r="AD88" s="2"/>
      <c r="AE88" s="2"/>
      <c r="AF88" s="2"/>
      <c r="AG88" s="2"/>
      <c r="AH88" s="2"/>
      <c r="AI88" s="2"/>
      <c r="AJ88" s="2"/>
      <c r="AK88" s="2"/>
      <c r="AL88" s="2"/>
      <c r="AM88" s="2"/>
      <c r="AN88" s="2"/>
      <c r="AO88" s="2"/>
      <c r="AP88" s="2"/>
      <c r="AQ88" s="2"/>
      <c r="AR88" s="2"/>
      <c r="AS88" s="2"/>
      <c r="AT88" s="2"/>
      <c r="AU88" s="2"/>
      <c r="AV88" s="2"/>
      <c r="AW88" s="2"/>
      <c r="AX88" s="2"/>
      <c r="AY88" s="2"/>
    </row>
    <row r="89" spans="1:51" ht="12.7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2"/>
      <c r="AD89" s="2"/>
      <c r="AE89" s="2"/>
      <c r="AF89" s="2"/>
      <c r="AG89" s="2"/>
      <c r="AH89" s="2"/>
      <c r="AI89" s="2"/>
      <c r="AJ89" s="2"/>
      <c r="AK89" s="2"/>
      <c r="AL89" s="2"/>
      <c r="AM89" s="2"/>
      <c r="AN89" s="2"/>
      <c r="AO89" s="2"/>
      <c r="AP89" s="2"/>
      <c r="AQ89" s="2"/>
      <c r="AR89" s="2"/>
      <c r="AS89" s="2"/>
      <c r="AT89" s="2"/>
      <c r="AU89" s="2"/>
      <c r="AV89" s="2"/>
      <c r="AW89" s="2"/>
      <c r="AX89" s="2"/>
      <c r="AY89" s="2"/>
    </row>
    <row r="90" spans="1:51" ht="12.7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2"/>
      <c r="AD90" s="2"/>
      <c r="AE90" s="2"/>
      <c r="AF90" s="2"/>
      <c r="AG90" s="2"/>
      <c r="AH90" s="2"/>
      <c r="AI90" s="2"/>
      <c r="AJ90" s="2"/>
      <c r="AK90" s="2"/>
      <c r="AL90" s="2"/>
      <c r="AM90" s="2"/>
      <c r="AN90" s="2"/>
      <c r="AO90" s="2"/>
      <c r="AP90" s="2"/>
      <c r="AQ90" s="2"/>
      <c r="AR90" s="2"/>
      <c r="AS90" s="2"/>
      <c r="AT90" s="2"/>
      <c r="AU90" s="2"/>
      <c r="AV90" s="2"/>
      <c r="AW90" s="2"/>
      <c r="AX90" s="2"/>
      <c r="AY90" s="2"/>
    </row>
    <row r="91" spans="1:51" ht="12.7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2"/>
      <c r="AD91" s="2"/>
      <c r="AE91" s="2"/>
      <c r="AF91" s="2"/>
      <c r="AG91" s="2"/>
      <c r="AH91" s="2"/>
      <c r="AI91" s="2"/>
      <c r="AJ91" s="2"/>
      <c r="AK91" s="2"/>
      <c r="AL91" s="2"/>
      <c r="AM91" s="2"/>
      <c r="AN91" s="2"/>
      <c r="AO91" s="2"/>
      <c r="AP91" s="2"/>
      <c r="AQ91" s="2"/>
      <c r="AR91" s="2"/>
      <c r="AS91" s="2"/>
      <c r="AT91" s="2"/>
      <c r="AU91" s="2"/>
      <c r="AV91" s="2"/>
      <c r="AW91" s="2"/>
      <c r="AX91" s="2"/>
      <c r="AY91" s="2"/>
    </row>
    <row r="92" spans="1:51" ht="12.7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2"/>
      <c r="AD92" s="2"/>
      <c r="AE92" s="2"/>
      <c r="AF92" s="2"/>
      <c r="AG92" s="2"/>
      <c r="AH92" s="2"/>
      <c r="AI92" s="2"/>
      <c r="AJ92" s="2"/>
      <c r="AK92" s="2"/>
      <c r="AL92" s="2"/>
      <c r="AM92" s="2"/>
      <c r="AN92" s="2"/>
      <c r="AO92" s="2"/>
      <c r="AP92" s="2"/>
      <c r="AQ92" s="2"/>
      <c r="AR92" s="2"/>
      <c r="AS92" s="2"/>
      <c r="AT92" s="2"/>
      <c r="AU92" s="2"/>
      <c r="AV92" s="2"/>
      <c r="AW92" s="2"/>
      <c r="AX92" s="2"/>
      <c r="AY92" s="2"/>
    </row>
    <row r="93" spans="1:51" ht="12.7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2"/>
      <c r="AD93" s="2"/>
      <c r="AE93" s="2"/>
      <c r="AF93" s="2"/>
      <c r="AG93" s="2"/>
      <c r="AH93" s="2"/>
      <c r="AI93" s="2"/>
      <c r="AJ93" s="2"/>
      <c r="AK93" s="2"/>
      <c r="AL93" s="2"/>
      <c r="AM93" s="2"/>
      <c r="AN93" s="2"/>
      <c r="AO93" s="2"/>
      <c r="AP93" s="2"/>
      <c r="AQ93" s="2"/>
      <c r="AR93" s="2"/>
      <c r="AS93" s="2"/>
      <c r="AT93" s="2"/>
      <c r="AU93" s="2"/>
      <c r="AV93" s="2"/>
      <c r="AW93" s="2"/>
      <c r="AX93" s="2"/>
      <c r="AY93" s="2"/>
    </row>
    <row r="94" spans="1:51" ht="12.7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2"/>
      <c r="AD94" s="2"/>
      <c r="AE94" s="2"/>
      <c r="AF94" s="2"/>
      <c r="AG94" s="2"/>
      <c r="AH94" s="2"/>
      <c r="AI94" s="2"/>
      <c r="AJ94" s="2"/>
      <c r="AK94" s="2"/>
      <c r="AL94" s="2"/>
      <c r="AM94" s="2"/>
      <c r="AN94" s="2"/>
      <c r="AO94" s="2"/>
      <c r="AP94" s="2"/>
      <c r="AQ94" s="2"/>
      <c r="AR94" s="2"/>
      <c r="AS94" s="2"/>
      <c r="AT94" s="2"/>
      <c r="AU94" s="2"/>
      <c r="AV94" s="2"/>
      <c r="AW94" s="2"/>
      <c r="AX94" s="2"/>
      <c r="AY94" s="2"/>
    </row>
    <row r="95" spans="1:51" ht="12.7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2"/>
      <c r="AD95" s="2"/>
      <c r="AE95" s="2"/>
      <c r="AF95" s="2"/>
      <c r="AG95" s="2"/>
      <c r="AH95" s="2"/>
      <c r="AI95" s="2"/>
      <c r="AJ95" s="2"/>
      <c r="AK95" s="2"/>
      <c r="AL95" s="2"/>
      <c r="AM95" s="2"/>
      <c r="AN95" s="2"/>
      <c r="AO95" s="2"/>
      <c r="AP95" s="2"/>
      <c r="AQ95" s="2"/>
      <c r="AR95" s="2"/>
      <c r="AS95" s="2"/>
      <c r="AT95" s="2"/>
      <c r="AU95" s="2"/>
      <c r="AV95" s="2"/>
      <c r="AW95" s="2"/>
      <c r="AX95" s="2"/>
      <c r="AY95" s="2"/>
    </row>
    <row r="96" spans="1:51" ht="12.7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2"/>
      <c r="AD96" s="2"/>
      <c r="AE96" s="2"/>
      <c r="AF96" s="2"/>
      <c r="AG96" s="2"/>
      <c r="AH96" s="2"/>
      <c r="AI96" s="2"/>
      <c r="AJ96" s="2"/>
      <c r="AK96" s="2"/>
      <c r="AL96" s="2"/>
      <c r="AM96" s="2"/>
      <c r="AN96" s="2"/>
      <c r="AO96" s="2"/>
      <c r="AP96" s="2"/>
      <c r="AQ96" s="2"/>
      <c r="AR96" s="2"/>
      <c r="AS96" s="2"/>
      <c r="AT96" s="2"/>
      <c r="AU96" s="2"/>
      <c r="AV96" s="2"/>
      <c r="AW96" s="2"/>
      <c r="AX96" s="2"/>
      <c r="AY96" s="2"/>
    </row>
    <row r="97" spans="1:51" ht="12.7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2"/>
      <c r="AD97" s="2"/>
      <c r="AE97" s="2"/>
      <c r="AF97" s="2"/>
      <c r="AG97" s="2"/>
      <c r="AH97" s="2"/>
      <c r="AI97" s="2"/>
      <c r="AJ97" s="2"/>
      <c r="AK97" s="2"/>
      <c r="AL97" s="2"/>
      <c r="AM97" s="2"/>
      <c r="AN97" s="2"/>
      <c r="AO97" s="2"/>
      <c r="AP97" s="2"/>
      <c r="AQ97" s="2"/>
      <c r="AR97" s="2"/>
      <c r="AS97" s="2"/>
      <c r="AT97" s="2"/>
      <c r="AU97" s="2"/>
      <c r="AV97" s="2"/>
      <c r="AW97" s="2"/>
      <c r="AX97" s="2"/>
      <c r="AY97" s="2"/>
    </row>
    <row r="98" spans="1:51" ht="12.7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2"/>
      <c r="AD98" s="2"/>
      <c r="AE98" s="2"/>
      <c r="AF98" s="2"/>
      <c r="AG98" s="2"/>
      <c r="AH98" s="2"/>
      <c r="AI98" s="2"/>
      <c r="AJ98" s="2"/>
      <c r="AK98" s="2"/>
      <c r="AL98" s="2"/>
      <c r="AM98" s="2"/>
      <c r="AN98" s="2"/>
      <c r="AO98" s="2"/>
      <c r="AP98" s="2"/>
      <c r="AQ98" s="2"/>
      <c r="AR98" s="2"/>
      <c r="AS98" s="2"/>
      <c r="AT98" s="2"/>
      <c r="AU98" s="2"/>
      <c r="AV98" s="2"/>
      <c r="AW98" s="2"/>
      <c r="AX98" s="2"/>
      <c r="AY98" s="2"/>
    </row>
    <row r="99" spans="1:51" ht="12.7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2"/>
      <c r="AD99" s="2"/>
      <c r="AE99" s="2"/>
      <c r="AF99" s="2"/>
      <c r="AG99" s="2"/>
      <c r="AH99" s="2"/>
      <c r="AI99" s="2"/>
      <c r="AJ99" s="2"/>
      <c r="AK99" s="2"/>
      <c r="AL99" s="2"/>
      <c r="AM99" s="2"/>
      <c r="AN99" s="2"/>
      <c r="AO99" s="2"/>
      <c r="AP99" s="2"/>
      <c r="AQ99" s="2"/>
      <c r="AR99" s="2"/>
      <c r="AS99" s="2"/>
      <c r="AT99" s="2"/>
      <c r="AU99" s="2"/>
      <c r="AV99" s="2"/>
      <c r="AW99" s="2"/>
      <c r="AX99" s="2"/>
      <c r="AY99" s="2"/>
    </row>
    <row r="100" spans="1:51" ht="12.7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2.7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2.7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2.7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2.7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2.7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2.7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2.7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2.7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2.7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2.7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2.7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2.7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2.7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2.7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2.7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2.7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2.7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2.7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28" ht="12.7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row>
    <row r="120" spans="1:28" ht="12.7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row>
    <row r="121" spans="1:28" ht="12.7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2.7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row>
    <row r="123" spans="1:28" ht="12.7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row>
    <row r="124" spans="1:28" ht="12.7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row>
    <row r="125" spans="1:28" ht="12.7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row>
    <row r="126" spans="1:28" ht="12.7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row>
    <row r="127" spans="1:28" ht="12.7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row>
    <row r="128" spans="1:28" ht="12.7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row>
    <row r="129" spans="1:28" ht="12.7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row>
    <row r="130" spans="1:28" ht="12.7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row>
    <row r="131" spans="1:28" ht="12.7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row>
    <row r="132" spans="1:28" ht="12.7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row>
    <row r="133" spans="1:28" ht="12.7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row>
    <row r="134" spans="1:28" ht="12.7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row>
    <row r="135" spans="1:28" ht="12.7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row>
    <row r="136" spans="1:28" ht="12.7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row>
    <row r="137" spans="1:28" ht="12.7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row>
    <row r="138" spans="1:28" ht="12.7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row>
    <row r="139" spans="1:28" ht="12.7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row>
    <row r="140" spans="1:28" ht="12.7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row>
    <row r="141" spans="1:28" ht="12.7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row>
    <row r="142" spans="1:28" ht="12.7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row>
    <row r="143" spans="1:28" ht="12.7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row>
    <row r="144" spans="1:28" ht="12.7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row>
    <row r="145" spans="1:28" ht="12.7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row>
    <row r="146" spans="1:28" ht="12.7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row>
    <row r="147" spans="1:28" ht="12.7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row>
    <row r="148" spans="1:28" ht="12.7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row>
    <row r="149" spans="1:28" ht="12.7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row>
    <row r="150" spans="1:28" ht="12.7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row>
    <row r="151" spans="1:28" ht="12.7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row>
    <row r="152" spans="1:28" ht="12.7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row>
    <row r="153" spans="1:28" ht="12.7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row>
    <row r="154" spans="1:28" ht="12.7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row>
    <row r="155" spans="1:28" ht="12.7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row>
    <row r="156" spans="1:28" ht="12.7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row>
    <row r="157" spans="1:28" ht="12.7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row>
    <row r="158" spans="1:28" ht="12.7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row>
    <row r="159" spans="1:28" ht="12.7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row>
    <row r="160" spans="1:28" ht="12.7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row>
    <row r="161" spans="1:28" ht="12.7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row>
    <row r="162" spans="1:28" ht="12.7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row>
    <row r="163" spans="1:28" ht="12.7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row>
    <row r="164" spans="1:28" ht="12.7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row>
    <row r="165" spans="1:28" ht="12.7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row>
    <row r="166" spans="1:28" ht="12.7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row>
    <row r="167" spans="1:28" ht="12.7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row>
    <row r="168" spans="1:28" ht="12.7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row>
    <row r="169" spans="1:28" ht="12.7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row>
    <row r="170" spans="1:28" ht="12.7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row>
    <row r="171" spans="1:28" ht="12.7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row>
    <row r="172" spans="1:28" ht="12.7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row>
    <row r="173" spans="1:28" ht="12.7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row>
    <row r="174" spans="1:28" ht="12.7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row>
    <row r="175" spans="1:28" ht="12.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row>
    <row r="176" spans="1:28" ht="12.7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row>
    <row r="177" spans="1:28" ht="12.7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row>
    <row r="178" spans="1:28" ht="12.7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row>
    <row r="179" spans="1:28" ht="12.7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row>
    <row r="180" spans="1:28" ht="12.7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row>
    <row r="181" spans="1:28" ht="12.7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row>
    <row r="182" spans="1:28" ht="12.7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row>
    <row r="183" spans="1:28" ht="12.7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row>
    <row r="184" spans="1:28" ht="12.7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row>
    <row r="185" spans="1:28" ht="12.7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row>
    <row r="186" spans="1:28" ht="12.7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row>
    <row r="187" spans="1:28" ht="12.7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row>
    <row r="188" spans="1:28" ht="12.7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row>
    <row r="189" spans="1:28" ht="12.7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row>
    <row r="190" spans="1:28" ht="12.7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row>
    <row r="191" spans="1:28" ht="12.75">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row>
    <row r="192" spans="1:28" ht="12.75">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row>
    <row r="193" spans="1:28" ht="12.75">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row>
    <row r="194" spans="1:28" ht="12.75">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row>
    <row r="195" spans="1:28" ht="12.7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row>
    <row r="196" spans="1:28" ht="12.75">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row>
    <row r="197" spans="1:28" ht="12.75">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row>
    <row r="198" spans="1:28" ht="12.75">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row>
    <row r="199" spans="1:28" ht="12.75">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row>
    <row r="200" spans="1:28" ht="12.75">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row>
    <row r="201" spans="1:28" ht="12.75">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row>
    <row r="202" spans="1:28" ht="12.75">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row>
    <row r="203" spans="1:28" ht="12.75">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row>
    <row r="204" spans="1:28" ht="12.75">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row>
    <row r="205" spans="1:28" ht="12.7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row>
    <row r="206" spans="1:28" ht="12.75">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row>
    <row r="207" spans="1:28" ht="12.75">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row>
    <row r="208" spans="1:28" ht="12.75">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row>
    <row r="209" spans="1:28" ht="12.75">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row>
    <row r="210" spans="1:28" ht="12.75">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row>
    <row r="211" spans="1:28" ht="12.75">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row>
    <row r="212" spans="1:28" ht="12.75">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row>
    <row r="213" spans="1:28" ht="12.75">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row>
    <row r="214" spans="1:28" ht="12.75">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row>
    <row r="215" spans="1:28" ht="12.7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row>
    <row r="216" spans="1:28" ht="12.75">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row>
    <row r="217" spans="1:28" ht="12.75">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row>
    <row r="218" spans="1:28" ht="12.75">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row>
    <row r="219" spans="1:28" ht="12.75">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row>
    <row r="220" spans="1:28" ht="12.75">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row>
    <row r="221" spans="1:28" ht="12.75">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row>
    <row r="222" spans="1:28" ht="12.75">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row>
    <row r="223" spans="1:28" ht="12.75">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row>
    <row r="224" spans="1:28" ht="12.75">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row>
    <row r="225" spans="1:28" ht="12.7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row>
    <row r="226" spans="1:28" ht="12.75">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row>
    <row r="227" spans="1:28" ht="12.75">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row>
    <row r="228" spans="1:28" ht="12.75">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row>
    <row r="229" spans="1:28" ht="12.75">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row>
    <row r="230" spans="1:28" ht="12.75">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row>
    <row r="231" spans="1:28" ht="12.75">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row>
    <row r="232" spans="1:28" ht="12.75">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row>
    <row r="233" spans="1:28" ht="12.75">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row>
    <row r="234" spans="1:28" ht="12.75">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row>
    <row r="235" spans="1:28" ht="12.7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row>
    <row r="236" spans="1:28" ht="12.75">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row>
    <row r="237" spans="1:28" ht="12.75">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row>
    <row r="238" spans="1:28" ht="12.75">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row>
    <row r="239" spans="1:28" ht="12.75">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row>
    <row r="240" spans="1:28" ht="12.75">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row>
    <row r="241" spans="1:28" ht="12.75">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row>
    <row r="242" spans="1:28" ht="12.75">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row>
    <row r="243" spans="1:28" ht="12.75">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row>
    <row r="244" spans="1:28" ht="12.75">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row>
    <row r="245" spans="1:28" ht="12.7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row>
    <row r="246" spans="1:28" ht="12.75">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row>
    <row r="247" spans="1:28" ht="12.75">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row>
    <row r="248" spans="1:28" ht="12.75">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row>
    <row r="249" spans="1:28" ht="12.75">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row>
    <row r="250" spans="1:28" ht="12.75">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row>
    <row r="251" spans="1:28" ht="12.75">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row>
    <row r="252" spans="1:28" ht="12.75">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row>
    <row r="253" spans="1:28" ht="12.75">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row>
    <row r="254" spans="1:28" ht="12.75">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row>
    <row r="255" spans="1:28" ht="12.7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row>
    <row r="256" spans="1:28" ht="12.75">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row>
    <row r="257" spans="1:28" ht="12.75">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row>
    <row r="258" spans="1:28" ht="12.75">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row>
    <row r="259" spans="1:28" ht="12.75">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row>
    <row r="260" spans="1:28" ht="12.75">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row>
    <row r="261" spans="1:28" ht="12.75">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row>
    <row r="262" spans="1:28" ht="12.75">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row>
    <row r="263" spans="1:28" ht="12.75">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row>
    <row r="264" spans="1:28" ht="12.75">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row>
    <row r="265" spans="1:28" ht="12.7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row>
    <row r="266" spans="1:28" ht="12.75">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row>
    <row r="267" spans="1:28" ht="12.75">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row>
    <row r="268" spans="1:28" ht="12.75">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row>
    <row r="269" spans="1:28" ht="12.75">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row>
    <row r="270" spans="1:28" ht="12.75">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row>
    <row r="271" spans="1:28" ht="12.75">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row>
    <row r="272" spans="1:28" ht="12.75">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row>
    <row r="273" spans="1:28" ht="12.75">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row>
    <row r="274" spans="1:28" ht="12.75">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row>
    <row r="275" spans="1:28" ht="1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row>
    <row r="276" spans="1:28" ht="12.75">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row>
    <row r="277" spans="1:28" ht="12.75">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row>
    <row r="278" spans="1:28" ht="12.75">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row>
    <row r="279" spans="1:28" ht="12.75">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row>
    <row r="280" spans="1:28" ht="12.75">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row>
    <row r="281" spans="1:28" ht="12.75">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row>
    <row r="282" spans="1:28" ht="12.75">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row>
    <row r="283" spans="1:28" ht="12.75">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row>
    <row r="284" spans="1:28" ht="12.75">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row>
    <row r="285" spans="1:28" ht="12.7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row>
    <row r="286" spans="1:28" ht="12.75">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row>
    <row r="287" spans="1:28" ht="12.75">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row>
    <row r="288" spans="1:28" ht="12.75">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row>
    <row r="289" spans="1:28" ht="12.75">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row>
    <row r="290" spans="1:28" ht="12.75">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row>
    <row r="291" spans="1:28" ht="12.75">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row>
    <row r="292" spans="1:28" ht="12.75">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row>
    <row r="293" spans="1:28" ht="12.75">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row>
    <row r="294" spans="1:28" ht="12.75">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row>
    <row r="295" spans="1:28" ht="12.7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row>
    <row r="296" spans="1:28" ht="12.75">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row>
    <row r="297" spans="1:28" ht="12.75">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row>
    <row r="298" spans="1:28" ht="12.75">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row>
    <row r="299" spans="1:28" ht="12.75">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row>
    <row r="300" spans="1:28" ht="12.75">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row>
    <row r="301" spans="1:28" ht="12.75">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row>
    <row r="302" spans="1:28" ht="12.75">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row>
    <row r="303" spans="1:28" ht="12.75">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row>
    <row r="304" spans="1:28" ht="12.75">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row>
    <row r="305" spans="1:28" ht="12.7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row>
    <row r="306" spans="1:28" ht="12.75">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row>
    <row r="307" spans="1:28" ht="12.75">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row>
    <row r="308" spans="1:28" ht="12.75">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row>
    <row r="309" spans="1:28" ht="12.75">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row>
    <row r="310" spans="1:28" ht="12.75">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row>
    <row r="311" spans="1:28" ht="12.75">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row>
    <row r="312" spans="1:28" ht="12.75">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row>
    <row r="313" spans="1:28" ht="12.75">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row>
    <row r="314" spans="1:28" ht="12.75">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row>
    <row r="315" spans="1:28" ht="12.7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row>
    <row r="316" spans="1:28" ht="12.75">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row>
    <row r="317" spans="1:28" ht="12.75">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row>
    <row r="318" spans="1:28" ht="12.75">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row>
    <row r="319" spans="1:28" ht="12.75">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row>
    <row r="320" spans="1:28" ht="12.75">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row>
    <row r="321" spans="1:28" ht="12.75">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row>
    <row r="322" spans="1:28" ht="12.75">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row>
    <row r="323" spans="1:28" ht="12.75">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row>
    <row r="324" spans="1:28" ht="12.75">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row>
    <row r="325" spans="1:28" ht="12.7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row>
    <row r="326" spans="1:28" ht="12.75">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row>
    <row r="327" spans="1:28" ht="12.75">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row>
    <row r="328" spans="1:28" ht="12.75">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row>
    <row r="329" spans="1:28" ht="12.75">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row>
    <row r="330" spans="1:28" ht="12.75">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row>
    <row r="331" spans="1:28" ht="12.75">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row>
    <row r="332" spans="1:28" ht="12.75">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row>
    <row r="333" spans="1:28" ht="12.75">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row>
    <row r="334" spans="1:28" ht="12.75">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row>
    <row r="335" spans="1:28" ht="12.7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row>
    <row r="336" spans="1:28" ht="12.75">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row>
    <row r="337" spans="1:28" ht="12.75">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row>
    <row r="338" spans="1:28" ht="12.75">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row>
    <row r="339" spans="1:28" ht="12.75">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row>
    <row r="340" spans="1:28" ht="12.75">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row>
    <row r="341" spans="1:28" ht="12.75">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row>
    <row r="342" spans="1:28" ht="12.75">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row>
    <row r="343" spans="1:28" ht="12.75">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row>
    <row r="344" spans="1:28" ht="12.75">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row>
    <row r="345" spans="1:28" ht="12.7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row>
    <row r="346" spans="1:28" ht="12.75">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row>
    <row r="347" spans="1:28" ht="12.75">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row>
    <row r="348" spans="1:28" ht="12.75">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row>
    <row r="349" spans="1:28" ht="12.75">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row>
    <row r="350" spans="1:28" ht="12.75">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row>
    <row r="351" spans="1:28" ht="12.75">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row>
    <row r="352" spans="1:28" ht="12.75">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row>
    <row r="353" spans="1:28" ht="12.75">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row>
    <row r="354" spans="1:28" ht="12.75">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row>
    <row r="355" spans="1:28" ht="12.7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row>
    <row r="356" spans="1:28" ht="12.75">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row>
    <row r="357" spans="1:28" ht="12.75">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row>
    <row r="358" spans="1:28" ht="12.75">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row>
    <row r="359" spans="1:28" ht="12.75">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row>
    <row r="360" spans="1:28" ht="12.75">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row>
    <row r="361" spans="1:28" ht="12.75">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row>
    <row r="362" spans="1:28" ht="12.75">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row>
    <row r="363" spans="1:28" ht="12.75">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row>
    <row r="364" spans="1:28" ht="12.75">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row>
    <row r="365" spans="1:28" ht="12.7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row>
    <row r="366" spans="1:28" ht="12.75">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row>
    <row r="367" spans="1:28" ht="12.75">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row>
    <row r="368" spans="1:28" ht="12.75">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row>
    <row r="369" spans="1:28" ht="12.75">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row>
    <row r="370" spans="1:28" ht="12.75">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row>
    <row r="371" spans="1:28" ht="12.75">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row>
    <row r="372" spans="1:28" ht="12.75">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row>
    <row r="373" spans="1:28" ht="12.75">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row>
    <row r="374" spans="1:28" ht="12.75">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row>
    <row r="375" spans="1:28" ht="12.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row>
    <row r="376" spans="1:28" ht="12.75">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row>
    <row r="377" spans="1:28" ht="12.75">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row>
    <row r="378" spans="1:28" ht="12.75">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row>
    <row r="379" spans="1:28" ht="12.75">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row>
    <row r="380" spans="1:28" ht="12.75">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row>
    <row r="381" spans="1:28" ht="12.75">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row>
    <row r="382" spans="1:28" ht="12.75">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row>
    <row r="383" spans="1:28" ht="12.75">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row>
    <row r="384" spans="1:28" ht="12.75">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row>
    <row r="385" spans="1:28" ht="12.7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row>
    <row r="386" spans="1:28" ht="12.75">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row>
    <row r="387" spans="1:28" ht="12.75">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row>
    <row r="388" spans="1:28" ht="12.75">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row>
    <row r="389" spans="1:28" ht="12.75">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row>
    <row r="390" spans="1:28" ht="12.75">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row>
    <row r="391" spans="1:28" ht="12.75">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row>
    <row r="392" spans="1:28" ht="12.75">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row>
    <row r="393" spans="1:28" ht="12.75">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row>
    <row r="394" spans="1:28" ht="12.75">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row>
    <row r="395" spans="1:28" ht="12.7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row>
    <row r="396" spans="1:28" ht="12.75">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row>
    <row r="397" spans="1:28" ht="12.75">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row>
    <row r="398" spans="1:28" ht="12.75">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row>
    <row r="399" spans="1:28" ht="12.75">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row>
    <row r="400" spans="1:28" ht="12.75">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row>
    <row r="401" spans="1:28" ht="12.75">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row>
    <row r="402" spans="1:28" ht="12.75">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row>
    <row r="403" spans="1:28" ht="12.75">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row>
    <row r="404" spans="1:28" ht="12.75">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row>
    <row r="405" spans="1:28" ht="12.7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row>
    <row r="406" spans="1:28" ht="12.75">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row>
    <row r="407" spans="1:28" ht="12.75">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row>
    <row r="408" spans="1:28" ht="12.75">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row>
    <row r="409" spans="1:28" ht="12.75">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row>
    <row r="410" spans="1:28" ht="12.75">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row>
    <row r="411" spans="1:28" ht="12.75">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row>
    <row r="412" spans="1:28" ht="12.75">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row>
    <row r="413" spans="1:28" ht="12.75">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row>
    <row r="414" spans="1:28" ht="12.75">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row>
    <row r="415" spans="1:28" ht="12.7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row>
    <row r="416" spans="1:28" ht="12.75">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row>
    <row r="417" spans="1:28" ht="12.75">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row>
    <row r="418" spans="1:28" ht="12.75">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row>
    <row r="419" spans="1:28" ht="12.75">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row>
    <row r="420" spans="1:28" ht="12.75">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row>
    <row r="421" spans="1:28" ht="12.75">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row>
    <row r="422" spans="1:28" ht="12.75">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row>
    <row r="423" spans="1:28" ht="12.75">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row>
    <row r="424" spans="1:28" ht="12.75">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row>
    <row r="425" spans="1:28" ht="12.7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row>
    <row r="426" spans="1:28" ht="12.75">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row>
    <row r="427" spans="1:28" ht="12.75">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row>
    <row r="428" spans="1:28" ht="12.75">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row>
    <row r="429" spans="1:28" ht="12.75">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row>
    <row r="430" spans="1:28" ht="12.75">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row>
    <row r="431" spans="1:28" ht="12.75">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row>
    <row r="432" spans="1:28" ht="12.75">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row>
    <row r="433" spans="1:28" ht="12.75">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row>
    <row r="434" spans="1:28" ht="12.75">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row>
    <row r="435" spans="1:28" ht="12.7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row>
    <row r="436" spans="1:28" ht="12.75">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row>
    <row r="437" spans="1:28" ht="12.75">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row>
    <row r="438" spans="1:28" ht="12.75">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row>
    <row r="439" spans="1:28" ht="12.75">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row>
    <row r="440" spans="1:28" ht="12.75">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row>
    <row r="441" spans="1:28" ht="12.75">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row>
    <row r="442" spans="1:28" ht="12.75">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row>
    <row r="443" spans="1:28" ht="12.75">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row>
    <row r="444" spans="1:28" ht="12.75">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row>
    <row r="445" spans="1:28" ht="12.7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row>
    <row r="446" spans="1:28" ht="12.75">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row>
    <row r="447" spans="1:28" ht="12.75">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row>
    <row r="448" spans="1:28" ht="12.75">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row>
    <row r="449" spans="1:28" ht="12.75">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row>
    <row r="450" spans="1:28" ht="12.75">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row>
    <row r="451" spans="1:28" ht="12.75">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row>
    <row r="452" spans="1:28" ht="12.75">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row>
    <row r="453" spans="1:28" ht="12.75">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row>
    <row r="454" spans="1:28" ht="12.75">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row>
    <row r="455" spans="1:28" ht="12.7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row>
    <row r="456" spans="1:28" ht="12.75">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row>
    <row r="457" spans="1:28" ht="12.75">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row>
    <row r="458" spans="1:28" ht="12.75">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row>
    <row r="459" spans="1:28" ht="12.75">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row>
    <row r="460" spans="1:28" ht="12.75">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row>
    <row r="461" spans="1:28" ht="12.75">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row>
    <row r="462" spans="1:28" ht="12.75">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row>
    <row r="463" spans="1:28" ht="12.75">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row>
    <row r="464" spans="1:28" ht="12.75">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row>
    <row r="465" spans="1:28" ht="12.7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row>
    <row r="466" spans="1:28" ht="12.75">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row>
    <row r="467" spans="1:28" ht="12.75">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row>
    <row r="468" spans="1:28" ht="12.75">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row>
    <row r="469" spans="1:28" ht="12.75">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row>
    <row r="470" spans="1:28" ht="12.75">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row>
    <row r="471" spans="1:28" ht="12.75">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row>
    <row r="472" spans="1:28" ht="12.75">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row>
    <row r="473" spans="1:28" ht="12.75">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row>
    <row r="474" spans="1:28" ht="12.75">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row>
    <row r="475" spans="1:28" ht="12.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row>
    <row r="476" spans="1:28" ht="12.75">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row>
    <row r="477" spans="1:28" ht="12.75">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row>
    <row r="478" spans="1:28" ht="12.75">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row>
    <row r="479" spans="1:28" ht="12.75">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row>
    <row r="480" spans="1:28" ht="12.75">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row>
    <row r="481" spans="1:28" ht="12.75">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row>
    <row r="482" spans="1:28" ht="12.75">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row>
    <row r="483" spans="1:28" ht="12.75">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row>
    <row r="484" spans="1:28" ht="12.75">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row>
    <row r="485" spans="1:28" ht="12.7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row>
    <row r="486" spans="1:28" ht="12.75">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row>
    <row r="487" spans="1:28" ht="12.75">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row>
    <row r="488" spans="1:28" ht="12.75">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row>
    <row r="489" spans="1:28" ht="12.75">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row>
    <row r="490" spans="1:28" ht="12.75">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row>
    <row r="491" spans="1:28" ht="12.75">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row>
    <row r="492" spans="1:28" ht="12.75">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row>
    <row r="493" spans="1:28" ht="12.75">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row>
    <row r="494" spans="1:28" ht="12.75">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row>
    <row r="495" spans="1:28" ht="12.7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row>
    <row r="496" spans="1:28" ht="12.75">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row>
    <row r="497" spans="1:28" ht="12.75">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row>
    <row r="498" spans="1:28" ht="12.75">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row>
    <row r="499" spans="1:28" ht="12.75">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row>
    <row r="500" spans="1:28" ht="12.75">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row>
    <row r="501" spans="1:28" ht="12.75">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row>
    <row r="502" spans="1:28" ht="12.75">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row>
    <row r="503" spans="1:28" ht="12.75">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row>
  </sheetData>
  <sheetProtection password="E1D3" sheet="1" objects="1" scenarios="1" selectLockedCells="1" selectUnlockedCells="1"/>
  <mergeCells count="19">
    <mergeCell ref="A25:E25"/>
    <mergeCell ref="G25:K25"/>
    <mergeCell ref="A1:M1"/>
    <mergeCell ref="A12:E16"/>
    <mergeCell ref="G12:K16"/>
    <mergeCell ref="M12:Q16"/>
    <mergeCell ref="M11:Q11"/>
    <mergeCell ref="A11:E11"/>
    <mergeCell ref="G11:K11"/>
    <mergeCell ref="M25:Q25"/>
    <mergeCell ref="A41:E41"/>
    <mergeCell ref="G41:K41"/>
    <mergeCell ref="M42:Q46"/>
    <mergeCell ref="M41:Q41"/>
    <mergeCell ref="A26:E32"/>
    <mergeCell ref="G26:K32"/>
    <mergeCell ref="M26:Q32"/>
    <mergeCell ref="A42:E46"/>
    <mergeCell ref="G42:K46"/>
  </mergeCells>
  <printOptions/>
  <pageMargins left="0.25" right="0.25" top="0.25" bottom="0.25" header="0.5" footer="0.5"/>
  <pageSetup horizontalDpi="300" verticalDpi="300" orientation="landscape"/>
  <drawing r:id="rId1"/>
</worksheet>
</file>

<file path=xl/worksheets/sheet8.xml><?xml version="1.0" encoding="utf-8"?>
<worksheet xmlns="http://schemas.openxmlformats.org/spreadsheetml/2006/main" xmlns:r="http://schemas.openxmlformats.org/officeDocument/2006/relationships">
  <sheetPr>
    <tabColor indexed="16"/>
  </sheetPr>
  <dimension ref="A1:AY624"/>
  <sheetViews>
    <sheetView showRowColHeaders="0" zoomScalePageLayoutView="0" workbookViewId="0" topLeftCell="A1">
      <selection activeCell="D41" sqref="D41"/>
    </sheetView>
  </sheetViews>
  <sheetFormatPr defaultColWidth="8.8515625" defaultRowHeight="12.75"/>
  <sheetData>
    <row r="1" spans="1:42" s="39" customFormat="1" ht="18" customHeight="1">
      <c r="A1" s="5"/>
      <c r="B1" s="5"/>
      <c r="C1" s="5"/>
      <c r="D1" s="5"/>
      <c r="E1" s="5"/>
      <c r="F1" s="5"/>
      <c r="G1" s="5"/>
      <c r="H1" s="5"/>
      <c r="I1" s="5"/>
      <c r="J1" s="5"/>
      <c r="K1" s="6" t="s">
        <v>290</v>
      </c>
      <c r="L1" s="3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s="39" customFormat="1" ht="18" customHeight="1">
      <c r="A2" s="5"/>
      <c r="B2" s="5"/>
      <c r="C2" s="5"/>
      <c r="D2" s="5"/>
      <c r="E2" s="5"/>
      <c r="F2" s="5"/>
      <c r="G2" s="5"/>
      <c r="H2" s="5"/>
      <c r="I2" s="5"/>
      <c r="J2" s="5"/>
      <c r="K2" s="7" t="s">
        <v>291</v>
      </c>
      <c r="L2" s="16"/>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s="39" customFormat="1" ht="18" customHeight="1">
      <c r="A3" s="5"/>
      <c r="B3" s="5"/>
      <c r="C3" s="5"/>
      <c r="D3" s="5"/>
      <c r="E3" s="5"/>
      <c r="F3" s="5"/>
      <c r="G3" s="5"/>
      <c r="H3" s="5"/>
      <c r="I3" s="5"/>
      <c r="J3" s="5"/>
      <c r="K3" s="7" t="s">
        <v>292</v>
      </c>
      <c r="L3" s="16"/>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s="39" customFormat="1" ht="18" customHeight="1">
      <c r="A4" s="5"/>
      <c r="B4" s="5"/>
      <c r="C4" s="5"/>
      <c r="D4" s="5"/>
      <c r="E4" s="5"/>
      <c r="F4" s="5"/>
      <c r="G4" s="5"/>
      <c r="H4" s="5"/>
      <c r="I4" s="5"/>
      <c r="J4" s="5"/>
      <c r="K4" s="8" t="s">
        <v>293</v>
      </c>
      <c r="L4" s="34"/>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row>
    <row r="5" spans="1:42" s="39" customFormat="1" ht="18" customHeight="1">
      <c r="A5" s="5"/>
      <c r="B5" s="5"/>
      <c r="C5" s="5"/>
      <c r="D5" s="5"/>
      <c r="E5" s="5"/>
      <c r="F5" s="5"/>
      <c r="G5" s="5"/>
      <c r="H5" s="5"/>
      <c r="I5" s="5"/>
      <c r="J5" s="5"/>
      <c r="K5" s="8"/>
      <c r="L5" s="34"/>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row>
    <row r="6" spans="1:45" ht="14.25">
      <c r="A6" s="144" t="s">
        <v>505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12.7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18" customHeight="1">
      <c r="A8" s="145" t="s">
        <v>536</v>
      </c>
      <c r="B8" s="499" t="s">
        <v>626</v>
      </c>
      <c r="C8" s="499"/>
      <c r="D8" s="499"/>
      <c r="E8" s="499"/>
      <c r="F8" s="499"/>
      <c r="G8" s="499"/>
      <c r="H8" s="499"/>
      <c r="I8" s="499"/>
      <c r="J8" s="499"/>
      <c r="K8" s="499"/>
      <c r="L8" s="499"/>
      <c r="M8" s="499"/>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t="18" customHeight="1">
      <c r="A9" s="145" t="s">
        <v>321</v>
      </c>
      <c r="B9" s="499" t="s">
        <v>614</v>
      </c>
      <c r="C9" s="499"/>
      <c r="D9" s="499"/>
      <c r="E9" s="499"/>
      <c r="F9" s="499"/>
      <c r="G9" s="499"/>
      <c r="H9" s="499"/>
      <c r="I9" s="499"/>
      <c r="J9" s="499"/>
      <c r="K9" s="499"/>
      <c r="L9" s="499"/>
      <c r="M9" s="499"/>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5" ht="18" customHeight="1">
      <c r="A10" s="145" t="s">
        <v>414</v>
      </c>
      <c r="B10" s="499" t="s">
        <v>612</v>
      </c>
      <c r="C10" s="499"/>
      <c r="D10" s="499"/>
      <c r="E10" s="499"/>
      <c r="F10" s="499"/>
      <c r="G10" s="499"/>
      <c r="H10" s="499"/>
      <c r="I10" s="499"/>
      <c r="J10" s="499"/>
      <c r="K10" s="499"/>
      <c r="L10" s="499"/>
      <c r="M10" s="499"/>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ht="18" customHeight="1">
      <c r="A11" s="145" t="s">
        <v>601</v>
      </c>
      <c r="B11" s="499" t="s">
        <v>615</v>
      </c>
      <c r="C11" s="499"/>
      <c r="D11" s="499"/>
      <c r="E11" s="499"/>
      <c r="F11" s="499"/>
      <c r="G11" s="499"/>
      <c r="H11" s="499"/>
      <c r="I11" s="499"/>
      <c r="J11" s="499"/>
      <c r="K11" s="499"/>
      <c r="L11" s="499"/>
      <c r="M11" s="499"/>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18.75" customHeight="1">
      <c r="A12" s="145" t="s">
        <v>518</v>
      </c>
      <c r="B12" s="499" t="s">
        <v>616</v>
      </c>
      <c r="C12" s="499"/>
      <c r="D12" s="499"/>
      <c r="E12" s="499"/>
      <c r="F12" s="499"/>
      <c r="G12" s="499"/>
      <c r="H12" s="499"/>
      <c r="I12" s="499"/>
      <c r="J12" s="499"/>
      <c r="K12" s="499"/>
      <c r="L12" s="499"/>
      <c r="M12" s="499"/>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t="18" customHeight="1">
      <c r="A13" s="145" t="s">
        <v>535</v>
      </c>
      <c r="B13" s="499" t="s">
        <v>618</v>
      </c>
      <c r="C13" s="499"/>
      <c r="D13" s="499"/>
      <c r="E13" s="499"/>
      <c r="F13" s="499"/>
      <c r="G13" s="499"/>
      <c r="H13" s="499"/>
      <c r="I13" s="499"/>
      <c r="J13" s="499"/>
      <c r="K13" s="499"/>
      <c r="L13" s="499"/>
      <c r="M13" s="499"/>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t="18" customHeight="1">
      <c r="A14" s="145" t="s">
        <v>542</v>
      </c>
      <c r="B14" s="499" t="s">
        <v>617</v>
      </c>
      <c r="C14" s="499"/>
      <c r="D14" s="499"/>
      <c r="E14" s="499"/>
      <c r="F14" s="499"/>
      <c r="G14" s="499"/>
      <c r="H14" s="499"/>
      <c r="I14" s="499"/>
      <c r="J14" s="499"/>
      <c r="K14" s="499"/>
      <c r="L14" s="499"/>
      <c r="M14" s="499"/>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t="18" customHeight="1">
      <c r="A15" s="145" t="s">
        <v>511</v>
      </c>
      <c r="B15" s="499" t="s">
        <v>619</v>
      </c>
      <c r="C15" s="499"/>
      <c r="D15" s="499"/>
      <c r="E15" s="499"/>
      <c r="F15" s="499"/>
      <c r="G15" s="499"/>
      <c r="H15" s="499"/>
      <c r="I15" s="499"/>
      <c r="J15" s="499"/>
      <c r="K15" s="499"/>
      <c r="L15" s="499"/>
      <c r="M15" s="499"/>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ht="18" customHeight="1">
      <c r="A16" s="145" t="s">
        <v>600</v>
      </c>
      <c r="B16" s="499" t="s">
        <v>620</v>
      </c>
      <c r="C16" s="499"/>
      <c r="D16" s="499"/>
      <c r="E16" s="499"/>
      <c r="F16" s="499"/>
      <c r="G16" s="499"/>
      <c r="H16" s="499"/>
      <c r="I16" s="499"/>
      <c r="J16" s="499"/>
      <c r="K16" s="499"/>
      <c r="L16" s="499"/>
      <c r="M16" s="499"/>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row>
    <row r="17" spans="1:45" ht="18" customHeight="1">
      <c r="A17" s="145" t="s">
        <v>509</v>
      </c>
      <c r="B17" s="499" t="s">
        <v>613</v>
      </c>
      <c r="C17" s="499"/>
      <c r="D17" s="499"/>
      <c r="E17" s="499"/>
      <c r="F17" s="499"/>
      <c r="G17" s="499"/>
      <c r="H17" s="499"/>
      <c r="I17" s="499"/>
      <c r="J17" s="499"/>
      <c r="K17" s="499"/>
      <c r="L17" s="499"/>
      <c r="M17" s="499"/>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45" ht="18" customHeight="1">
      <c r="A18" s="145" t="s">
        <v>322</v>
      </c>
      <c r="B18" s="499" t="s">
        <v>621</v>
      </c>
      <c r="C18" s="499"/>
      <c r="D18" s="499"/>
      <c r="E18" s="499"/>
      <c r="F18" s="499"/>
      <c r="G18" s="499"/>
      <c r="H18" s="499"/>
      <c r="I18" s="499"/>
      <c r="J18" s="499"/>
      <c r="K18" s="499"/>
      <c r="L18" s="499"/>
      <c r="M18" s="499"/>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ht="18" customHeight="1">
      <c r="A19" s="145" t="s">
        <v>539</v>
      </c>
      <c r="B19" s="499" t="s">
        <v>622</v>
      </c>
      <c r="C19" s="499"/>
      <c r="D19" s="499"/>
      <c r="E19" s="499"/>
      <c r="F19" s="499"/>
      <c r="G19" s="499"/>
      <c r="H19" s="499"/>
      <c r="I19" s="499"/>
      <c r="J19" s="499"/>
      <c r="K19" s="499"/>
      <c r="L19" s="499"/>
      <c r="M19" s="499"/>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ht="18" customHeight="1">
      <c r="A20" s="145" t="s">
        <v>538</v>
      </c>
      <c r="B20" s="499" t="s">
        <v>623</v>
      </c>
      <c r="C20" s="499"/>
      <c r="D20" s="499"/>
      <c r="E20" s="499"/>
      <c r="F20" s="499"/>
      <c r="G20" s="499"/>
      <c r="H20" s="499"/>
      <c r="I20" s="499"/>
      <c r="J20" s="499"/>
      <c r="K20" s="499"/>
      <c r="L20" s="499"/>
      <c r="M20" s="499"/>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t="18" customHeight="1">
      <c r="A21" s="145" t="s">
        <v>541</v>
      </c>
      <c r="B21" s="499" t="s">
        <v>624</v>
      </c>
      <c r="C21" s="499"/>
      <c r="D21" s="499"/>
      <c r="E21" s="499"/>
      <c r="F21" s="499"/>
      <c r="G21" s="499"/>
      <c r="H21" s="499"/>
      <c r="I21" s="499"/>
      <c r="J21" s="499"/>
      <c r="K21" s="499"/>
      <c r="L21" s="499"/>
      <c r="M21" s="499"/>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ht="18" customHeight="1">
      <c r="A22" s="145" t="s">
        <v>599</v>
      </c>
      <c r="B22" s="499" t="s">
        <v>625</v>
      </c>
      <c r="C22" s="499"/>
      <c r="D22" s="499"/>
      <c r="E22" s="499"/>
      <c r="F22" s="499"/>
      <c r="G22" s="499"/>
      <c r="H22" s="499"/>
      <c r="I22" s="499"/>
      <c r="J22" s="499"/>
      <c r="K22" s="499"/>
      <c r="L22" s="499"/>
      <c r="M22" s="499"/>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ht="18" customHeight="1">
      <c r="A23" s="145" t="s">
        <v>537</v>
      </c>
      <c r="B23" s="499" t="s">
        <v>611</v>
      </c>
      <c r="C23" s="499"/>
      <c r="D23" s="499"/>
      <c r="E23" s="499"/>
      <c r="F23" s="499"/>
      <c r="G23" s="499"/>
      <c r="H23" s="499"/>
      <c r="I23" s="499"/>
      <c r="J23" s="499"/>
      <c r="K23" s="499"/>
      <c r="L23" s="499"/>
      <c r="M23" s="499"/>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ht="18" customHeight="1">
      <c r="A24" s="145" t="s">
        <v>409</v>
      </c>
      <c r="B24" s="499" t="s">
        <v>502</v>
      </c>
      <c r="C24" s="499"/>
      <c r="D24" s="499"/>
      <c r="E24" s="499"/>
      <c r="F24" s="499"/>
      <c r="G24" s="499"/>
      <c r="H24" s="499"/>
      <c r="I24" s="499"/>
      <c r="J24" s="499"/>
      <c r="K24" s="499"/>
      <c r="L24" s="499"/>
      <c r="M24" s="499"/>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ht="18" customHeight="1">
      <c r="A25" s="145" t="s">
        <v>410</v>
      </c>
      <c r="B25" s="499" t="s">
        <v>503</v>
      </c>
      <c r="C25" s="499"/>
      <c r="D25" s="499"/>
      <c r="E25" s="499"/>
      <c r="F25" s="499"/>
      <c r="G25" s="499"/>
      <c r="H25" s="499"/>
      <c r="I25" s="499"/>
      <c r="J25" s="499"/>
      <c r="K25" s="499"/>
      <c r="L25" s="499"/>
      <c r="M25" s="499"/>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ht="18" customHeight="1">
      <c r="A26" s="145" t="s">
        <v>408</v>
      </c>
      <c r="B26" s="499" t="s">
        <v>504</v>
      </c>
      <c r="C26" s="499"/>
      <c r="D26" s="499"/>
      <c r="E26" s="499"/>
      <c r="F26" s="499"/>
      <c r="G26" s="499"/>
      <c r="H26" s="499"/>
      <c r="I26" s="499"/>
      <c r="J26" s="499"/>
      <c r="K26" s="499"/>
      <c r="L26" s="499"/>
      <c r="M26" s="499"/>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t="18" customHeight="1">
      <c r="A27" s="145" t="s">
        <v>513</v>
      </c>
      <c r="B27" s="499" t="s">
        <v>627</v>
      </c>
      <c r="C27" s="499"/>
      <c r="D27" s="499"/>
      <c r="E27" s="499"/>
      <c r="F27" s="499"/>
      <c r="G27" s="499"/>
      <c r="H27" s="499"/>
      <c r="I27" s="499"/>
      <c r="J27" s="499"/>
      <c r="K27" s="499"/>
      <c r="L27" s="499"/>
      <c r="M27" s="499"/>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ht="18" customHeight="1">
      <c r="A28" s="145" t="s">
        <v>520</v>
      </c>
      <c r="B28" s="499" t="s">
        <v>499</v>
      </c>
      <c r="C28" s="499"/>
      <c r="D28" s="499"/>
      <c r="E28" s="499"/>
      <c r="F28" s="499"/>
      <c r="G28" s="499"/>
      <c r="H28" s="499"/>
      <c r="I28" s="499"/>
      <c r="J28" s="499"/>
      <c r="K28" s="499"/>
      <c r="L28" s="499"/>
      <c r="M28" s="499"/>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45" ht="18" customHeight="1">
      <c r="A29" s="145" t="s">
        <v>510</v>
      </c>
      <c r="B29" s="499" t="s">
        <v>507</v>
      </c>
      <c r="C29" s="499"/>
      <c r="D29" s="499"/>
      <c r="E29" s="499"/>
      <c r="F29" s="499"/>
      <c r="G29" s="499"/>
      <c r="H29" s="499"/>
      <c r="I29" s="499"/>
      <c r="J29" s="499"/>
      <c r="K29" s="499"/>
      <c r="L29" s="499"/>
      <c r="M29" s="499"/>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5" ht="18" customHeight="1">
      <c r="A30" s="145" t="s">
        <v>534</v>
      </c>
      <c r="B30" s="499" t="s">
        <v>500</v>
      </c>
      <c r="C30" s="499"/>
      <c r="D30" s="499"/>
      <c r="E30" s="499"/>
      <c r="F30" s="499"/>
      <c r="G30" s="499"/>
      <c r="H30" s="499"/>
      <c r="I30" s="499"/>
      <c r="J30" s="499"/>
      <c r="K30" s="499"/>
      <c r="L30" s="499"/>
      <c r="M30" s="499"/>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ht="18" customHeight="1">
      <c r="A31" s="145" t="s">
        <v>604</v>
      </c>
      <c r="B31" s="499" t="s">
        <v>501</v>
      </c>
      <c r="C31" s="499"/>
      <c r="D31" s="499"/>
      <c r="E31" s="499"/>
      <c r="F31" s="499"/>
      <c r="G31" s="499"/>
      <c r="H31" s="499"/>
      <c r="I31" s="499"/>
      <c r="J31" s="499"/>
      <c r="K31" s="499"/>
      <c r="L31" s="499"/>
      <c r="M31" s="499"/>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45"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51" ht="12.7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2"/>
      <c r="AD33" s="2"/>
      <c r="AE33" s="2"/>
      <c r="AF33" s="2"/>
      <c r="AG33" s="2"/>
      <c r="AH33" s="2"/>
      <c r="AI33" s="2"/>
      <c r="AJ33" s="2"/>
      <c r="AK33" s="2"/>
      <c r="AL33" s="2"/>
      <c r="AM33" s="2"/>
      <c r="AN33" s="2"/>
      <c r="AO33" s="2"/>
      <c r="AP33" s="2"/>
      <c r="AQ33" s="2"/>
      <c r="AR33" s="2"/>
      <c r="AS33" s="2"/>
      <c r="AT33" s="2"/>
      <c r="AU33" s="2"/>
      <c r="AV33" s="2"/>
      <c r="AW33" s="2"/>
      <c r="AX33" s="2"/>
      <c r="AY33" s="2"/>
    </row>
    <row r="34" spans="1:51" ht="13.5">
      <c r="A34" s="57"/>
      <c r="B34" s="57"/>
      <c r="C34" s="57"/>
      <c r="D34" s="57"/>
      <c r="E34" s="57"/>
      <c r="F34" s="57"/>
      <c r="G34" s="10" t="s">
        <v>304</v>
      </c>
      <c r="H34" s="57"/>
      <c r="I34" s="57"/>
      <c r="J34" s="57"/>
      <c r="K34" s="57"/>
      <c r="L34" s="57"/>
      <c r="M34" s="57"/>
      <c r="N34" s="57"/>
      <c r="O34" s="57"/>
      <c r="P34" s="57"/>
      <c r="Q34" s="57"/>
      <c r="R34" s="57"/>
      <c r="S34" s="57"/>
      <c r="T34" s="57"/>
      <c r="U34" s="57"/>
      <c r="V34" s="57"/>
      <c r="W34" s="57"/>
      <c r="X34" s="57"/>
      <c r="Y34" s="57"/>
      <c r="Z34" s="57"/>
      <c r="AA34" s="57"/>
      <c r="AB34" s="57"/>
      <c r="AC34" s="2"/>
      <c r="AD34" s="2"/>
      <c r="AE34" s="2"/>
      <c r="AF34" s="2"/>
      <c r="AG34" s="2"/>
      <c r="AH34" s="2"/>
      <c r="AI34" s="2"/>
      <c r="AJ34" s="2"/>
      <c r="AK34" s="2"/>
      <c r="AL34" s="2"/>
      <c r="AM34" s="2"/>
      <c r="AN34" s="2"/>
      <c r="AO34" s="2"/>
      <c r="AP34" s="2"/>
      <c r="AQ34" s="2"/>
      <c r="AR34" s="2"/>
      <c r="AS34" s="2"/>
      <c r="AT34" s="2"/>
      <c r="AU34" s="2"/>
      <c r="AV34" s="2"/>
      <c r="AW34" s="2"/>
      <c r="AX34" s="2"/>
      <c r="AY34" s="2"/>
    </row>
    <row r="35" spans="1:51" ht="13.5">
      <c r="A35" s="57"/>
      <c r="B35" s="57"/>
      <c r="C35" s="57"/>
      <c r="D35" s="57"/>
      <c r="E35" s="57"/>
      <c r="F35" s="57"/>
      <c r="G35" s="10" t="s">
        <v>305</v>
      </c>
      <c r="H35" s="57"/>
      <c r="I35" s="57"/>
      <c r="J35" s="57"/>
      <c r="K35" s="57"/>
      <c r="L35" s="57"/>
      <c r="M35" s="57"/>
      <c r="N35" s="57"/>
      <c r="O35" s="57"/>
      <c r="P35" s="57"/>
      <c r="Q35" s="57"/>
      <c r="R35" s="57"/>
      <c r="S35" s="57"/>
      <c r="T35" s="57"/>
      <c r="U35" s="57"/>
      <c r="V35" s="57"/>
      <c r="W35" s="57"/>
      <c r="X35" s="57"/>
      <c r="Y35" s="57"/>
      <c r="Z35" s="57"/>
      <c r="AA35" s="57"/>
      <c r="AB35" s="57"/>
      <c r="AC35" s="2"/>
      <c r="AD35" s="2"/>
      <c r="AE35" s="2"/>
      <c r="AF35" s="2"/>
      <c r="AG35" s="2"/>
      <c r="AH35" s="2"/>
      <c r="AI35" s="2"/>
      <c r="AJ35" s="2"/>
      <c r="AK35" s="2"/>
      <c r="AL35" s="2"/>
      <c r="AM35" s="2"/>
      <c r="AN35" s="2"/>
      <c r="AO35" s="2"/>
      <c r="AP35" s="2"/>
      <c r="AQ35" s="2"/>
      <c r="AR35" s="2"/>
      <c r="AS35" s="2"/>
      <c r="AT35" s="2"/>
      <c r="AU35" s="2"/>
      <c r="AV35" s="2"/>
      <c r="AW35" s="2"/>
      <c r="AX35" s="2"/>
      <c r="AY35" s="2"/>
    </row>
    <row r="36" spans="1:51" ht="13.5">
      <c r="A36" s="57"/>
      <c r="B36" s="57"/>
      <c r="C36" s="57"/>
      <c r="D36" s="57"/>
      <c r="E36" s="57"/>
      <c r="F36" s="57"/>
      <c r="G36" s="10"/>
      <c r="H36" s="57"/>
      <c r="I36" s="57"/>
      <c r="J36" s="57"/>
      <c r="K36" s="57"/>
      <c r="L36" s="57"/>
      <c r="M36" s="57"/>
      <c r="N36" s="57"/>
      <c r="O36" s="57"/>
      <c r="P36" s="57"/>
      <c r="Q36" s="57"/>
      <c r="R36" s="57"/>
      <c r="S36" s="57"/>
      <c r="T36" s="57"/>
      <c r="U36" s="57"/>
      <c r="V36" s="57"/>
      <c r="W36" s="57"/>
      <c r="X36" s="57"/>
      <c r="Y36" s="57"/>
      <c r="Z36" s="57"/>
      <c r="AA36" s="57"/>
      <c r="AB36" s="57"/>
      <c r="AC36" s="2"/>
      <c r="AD36" s="2"/>
      <c r="AE36" s="2"/>
      <c r="AF36" s="2"/>
      <c r="AG36" s="2"/>
      <c r="AH36" s="2"/>
      <c r="AI36" s="2"/>
      <c r="AJ36" s="2"/>
      <c r="AK36" s="2"/>
      <c r="AL36" s="2"/>
      <c r="AM36" s="2"/>
      <c r="AN36" s="2"/>
      <c r="AO36" s="2"/>
      <c r="AP36" s="2"/>
      <c r="AQ36" s="2"/>
      <c r="AR36" s="2"/>
      <c r="AS36" s="2"/>
      <c r="AT36" s="2"/>
      <c r="AU36" s="2"/>
      <c r="AV36" s="2"/>
      <c r="AW36" s="2"/>
      <c r="AX36" s="2"/>
      <c r="AY36" s="2"/>
    </row>
    <row r="37" spans="1:51" ht="13.5">
      <c r="A37" s="57"/>
      <c r="B37" s="57"/>
      <c r="C37" s="57"/>
      <c r="D37" s="57"/>
      <c r="E37" s="57"/>
      <c r="F37" s="57"/>
      <c r="G37" s="10" t="s">
        <v>294</v>
      </c>
      <c r="H37" s="57"/>
      <c r="I37" s="57"/>
      <c r="J37" s="57"/>
      <c r="K37" s="57"/>
      <c r="L37" s="57"/>
      <c r="M37" s="57"/>
      <c r="N37" s="57"/>
      <c r="O37" s="57"/>
      <c r="P37" s="57"/>
      <c r="Q37" s="57"/>
      <c r="R37" s="57"/>
      <c r="S37" s="57"/>
      <c r="T37" s="57"/>
      <c r="U37" s="57"/>
      <c r="V37" s="57"/>
      <c r="W37" s="57"/>
      <c r="X37" s="57"/>
      <c r="Y37" s="57"/>
      <c r="Z37" s="57"/>
      <c r="AA37" s="57"/>
      <c r="AB37" s="57"/>
      <c r="AC37" s="2"/>
      <c r="AD37" s="2"/>
      <c r="AE37" s="2"/>
      <c r="AF37" s="2"/>
      <c r="AG37" s="2"/>
      <c r="AH37" s="2"/>
      <c r="AI37" s="2"/>
      <c r="AJ37" s="2"/>
      <c r="AK37" s="2"/>
      <c r="AL37" s="2"/>
      <c r="AM37" s="2"/>
      <c r="AN37" s="2"/>
      <c r="AO37" s="2"/>
      <c r="AP37" s="2"/>
      <c r="AQ37" s="2"/>
      <c r="AR37" s="2"/>
      <c r="AS37" s="2"/>
      <c r="AT37" s="2"/>
      <c r="AU37" s="2"/>
      <c r="AV37" s="2"/>
      <c r="AW37" s="2"/>
      <c r="AX37" s="2"/>
      <c r="AY37" s="2"/>
    </row>
    <row r="38" spans="1:51" ht="13.5">
      <c r="A38" s="57"/>
      <c r="B38" s="57"/>
      <c r="C38" s="57"/>
      <c r="D38" s="57"/>
      <c r="E38" s="57"/>
      <c r="F38" s="57"/>
      <c r="G38" s="10" t="s">
        <v>295</v>
      </c>
      <c r="H38" s="57"/>
      <c r="I38" s="57"/>
      <c r="J38" s="57"/>
      <c r="K38" s="57"/>
      <c r="L38" s="57"/>
      <c r="M38" s="57"/>
      <c r="N38" s="57"/>
      <c r="O38" s="57"/>
      <c r="P38" s="57"/>
      <c r="Q38" s="57"/>
      <c r="R38" s="57"/>
      <c r="S38" s="57"/>
      <c r="T38" s="57"/>
      <c r="U38" s="57"/>
      <c r="V38" s="57"/>
      <c r="W38" s="57"/>
      <c r="X38" s="57"/>
      <c r="Y38" s="57"/>
      <c r="Z38" s="57"/>
      <c r="AA38" s="57"/>
      <c r="AB38" s="57"/>
      <c r="AC38" s="2"/>
      <c r="AD38" s="2"/>
      <c r="AE38" s="2"/>
      <c r="AF38" s="2"/>
      <c r="AG38" s="2"/>
      <c r="AH38" s="2"/>
      <c r="AI38" s="2"/>
      <c r="AJ38" s="2"/>
      <c r="AK38" s="2"/>
      <c r="AL38" s="2"/>
      <c r="AM38" s="2"/>
      <c r="AN38" s="2"/>
      <c r="AO38" s="2"/>
      <c r="AP38" s="2"/>
      <c r="AQ38" s="2"/>
      <c r="AR38" s="2"/>
      <c r="AS38" s="2"/>
      <c r="AT38" s="2"/>
      <c r="AU38" s="2"/>
      <c r="AV38" s="2"/>
      <c r="AW38" s="2"/>
      <c r="AX38" s="2"/>
      <c r="AY38" s="2"/>
    </row>
    <row r="39" spans="1:51" ht="12.7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2"/>
      <c r="AD39" s="2"/>
      <c r="AE39" s="2"/>
      <c r="AF39" s="2"/>
      <c r="AG39" s="2"/>
      <c r="AH39" s="2"/>
      <c r="AI39" s="2"/>
      <c r="AJ39" s="2"/>
      <c r="AK39" s="2"/>
      <c r="AL39" s="2"/>
      <c r="AM39" s="2"/>
      <c r="AN39" s="2"/>
      <c r="AO39" s="2"/>
      <c r="AP39" s="2"/>
      <c r="AQ39" s="2"/>
      <c r="AR39" s="2"/>
      <c r="AS39" s="2"/>
      <c r="AT39" s="2"/>
      <c r="AU39" s="2"/>
      <c r="AV39" s="2"/>
      <c r="AW39" s="2"/>
      <c r="AX39" s="2"/>
      <c r="AY39" s="2"/>
    </row>
    <row r="40" spans="1:45"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2.7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2.7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2.7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12.7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2.7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t="12.7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t="12.7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45" ht="12.7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ht="12.7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2.7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2.7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row>
    <row r="52" spans="1:45" ht="12.7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5"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row>
    <row r="54" spans="1:45" ht="12.7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row>
    <row r="55" spans="1:45"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ht="12.7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2.7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1:45"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1:45"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1:45"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1:45"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1:45"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1:45"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1:45"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1:45"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1:4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1:4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1:4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1:4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1:4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1:4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1:4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5"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1:45"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1:45"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1:45"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1:45"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1:45" ht="12.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1:45" ht="12.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1:45"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1:45"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1:45"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1:45"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1:45"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1:45"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1:45"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1:45"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1:45"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1:45"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5"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1:45" ht="12.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45" ht="12.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1:45" ht="12.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1:45" ht="12.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45" ht="12.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1:45"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1:45"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5" ht="12.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ht="12.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45" ht="12.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45" ht="12.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45" ht="12.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ht="12.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ht="12.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ht="12.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ht="12.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ht="12.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ht="12.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ht="12.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ht="12.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ht="12.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1:45" ht="12.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1:45" ht="12.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1:45" ht="12.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1:45" ht="12.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1:45" ht="12.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ht="12.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1:45" ht="12.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1:45" ht="12.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1:45" ht="12.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1:45" ht="12.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1:45" ht="12.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1:45" ht="12.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1:45" ht="12.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1:45" ht="12.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ht="12.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ht="12.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ht="12.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ht="12.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ht="12.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ht="12.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ht="12.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ht="12.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ht="12.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ht="12.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ht="12.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ht="12.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ht="12.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1:45" ht="12.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1:45" ht="12.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1:45" ht="12.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1:45" ht="12.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1:45" ht="12.7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1:45" ht="12.7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1:45" ht="12.7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1:45" ht="12.7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1:45" ht="12.7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1:45" ht="12.7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ht="12.7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row r="258" spans="1:45" ht="12.7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row>
    <row r="259" spans="1:45" ht="12.7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row>
    <row r="260" spans="1:45" ht="12.7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row>
    <row r="261" spans="1:45" ht="12.7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row>
    <row r="262" spans="1:45" ht="12.7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row>
    <row r="263" spans="1:45" ht="12.7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row>
    <row r="264" spans="1:45" ht="12.7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row>
    <row r="265" spans="1:45" ht="12.7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row>
    <row r="266" spans="1:45" ht="12.7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row>
    <row r="267" spans="1:45" ht="12.7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ht="12.7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row>
    <row r="269" spans="1:45" ht="12.7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row>
    <row r="270" spans="1:45" ht="12.7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row>
    <row r="271" spans="1:45" ht="12.7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row>
    <row r="272" spans="1:45" ht="12.7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row>
    <row r="273" spans="1:45" ht="12.7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row>
    <row r="274" spans="1:45" ht="12.7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row>
    <row r="275" spans="1:45" ht="1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row>
    <row r="276" spans="1:45" ht="12.7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row>
    <row r="277" spans="1:45" ht="12.7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row>
    <row r="278" spans="1:45" ht="12.7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ht="12.7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row>
    <row r="280" spans="1:45" ht="12.7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row>
    <row r="281" spans="1:45" ht="12.7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row>
    <row r="282" spans="1:45" ht="12.7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row>
    <row r="283" spans="1:45" ht="12.7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row>
    <row r="284" spans="1:45" ht="12.7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row>
    <row r="285" spans="1:45" ht="12.7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row>
    <row r="286" spans="1:45" ht="12.7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row>
    <row r="287" spans="1:45" ht="12.7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row>
    <row r="288" spans="1:45" ht="12.7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row>
    <row r="289" spans="1:45" ht="12.7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ht="12.7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row>
    <row r="291" spans="1:45" ht="12.7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row>
    <row r="292" spans="1:45" ht="12.7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row>
    <row r="293" spans="1:45"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row>
    <row r="294" spans="1:45"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row>
    <row r="295" spans="1:45"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row>
    <row r="296" spans="1:45"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row>
    <row r="297" spans="1:45"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row>
    <row r="298" spans="1:45"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row>
    <row r="299" spans="1:45"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row>
    <row r="300" spans="1:45"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row>
    <row r="301" spans="1:45"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row>
    <row r="302" spans="1:45"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row>
    <row r="303" spans="1:45"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row>
    <row r="304" spans="1:45"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row r="307" spans="1:45"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row>
    <row r="308" spans="1:45"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row>
    <row r="309" spans="1:45"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row>
    <row r="310" spans="1:45"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row>
    <row r="311" spans="1:45"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row>
    <row r="312" spans="1:45"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row>
    <row r="313" spans="1:45"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row>
    <row r="314" spans="1:45"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row>
    <row r="315" spans="1:45"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row>
    <row r="316" spans="1:45"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row>
    <row r="317" spans="1:45"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row>
    <row r="318" spans="1:45"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row>
    <row r="319" spans="1:45"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row>
    <row r="320" spans="1:45"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row>
    <row r="321" spans="1:45"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row>
    <row r="322" spans="1:45"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row>
    <row r="323" spans="1:45"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row>
    <row r="324" spans="1:45"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row>
    <row r="325" spans="1:45"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row>
    <row r="326" spans="1:45"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row>
    <row r="327" spans="1:45"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row>
    <row r="328" spans="1:45"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row>
    <row r="329" spans="1:45"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row>
    <row r="330" spans="1:45"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row>
    <row r="331" spans="1:45"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row>
    <row r="332" spans="1:45"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row>
    <row r="333" spans="1:45"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row>
    <row r="334" spans="1:45"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row>
    <row r="335" spans="1:45"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row>
    <row r="336" spans="1:45"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row>
    <row r="337" spans="1:45"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row>
    <row r="338" spans="1:45"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row>
    <row r="339" spans="1:45"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row>
    <row r="340" spans="1:45"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row>
    <row r="341" spans="1:45"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row>
    <row r="342" spans="1:45"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row>
    <row r="343" spans="1:45"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row>
    <row r="344" spans="1:45"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row>
    <row r="345" spans="1:45"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row>
    <row r="346" spans="1:45"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row>
    <row r="347" spans="1:45"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row>
    <row r="348" spans="1:45"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row>
    <row r="349" spans="1:45"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row>
    <row r="350" spans="1:45"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row>
    <row r="351" spans="1:45"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row>
    <row r="352" spans="1:45"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row>
    <row r="353" spans="1:45"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row>
    <row r="354" spans="1:45"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row>
    <row r="355" spans="1:45"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row>
    <row r="356" spans="1:45"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row>
    <row r="357" spans="1:45"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row>
    <row r="358" spans="1:45"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row>
    <row r="359" spans="1:45"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row>
    <row r="360" spans="1:45"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row>
    <row r="361" spans="1:45"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row>
    <row r="362" spans="1:45"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row>
    <row r="363" spans="1:45"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row>
    <row r="364" spans="1:45"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row>
    <row r="365" spans="1:45"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row>
    <row r="366" spans="1:45"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row>
    <row r="367" spans="1:45"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row>
    <row r="368" spans="1:45"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row>
    <row r="369" spans="1:45"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row>
    <row r="370" spans="1:45"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row>
    <row r="371" spans="1:45"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row>
    <row r="372" spans="1:45"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row>
    <row r="373" spans="1:45"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row>
    <row r="374" spans="1:45"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row>
    <row r="375" spans="1:45"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row>
    <row r="376" spans="1:45"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row>
    <row r="377" spans="1:45"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row>
    <row r="378" spans="1:45"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row>
    <row r="379" spans="1:45"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row>
    <row r="380" spans="1:45"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row>
    <row r="381" spans="1:45"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row>
    <row r="382" spans="1:45"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row>
    <row r="383" spans="1:45"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row>
    <row r="384" spans="1:45"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row>
    <row r="385" spans="1:45"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row>
    <row r="386" spans="1:45"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row>
    <row r="387" spans="1:45"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row>
    <row r="388" spans="1:45"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row>
    <row r="389" spans="1:45"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row>
    <row r="390" spans="1:45"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row>
    <row r="391" spans="1:45"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row>
    <row r="392" spans="1:45"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row>
    <row r="393" spans="1:45"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row>
    <row r="394" spans="1:45"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row>
    <row r="395" spans="1:45"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row>
    <row r="396" spans="1:45"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row>
    <row r="397" spans="1:45"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row>
    <row r="398" spans="1:45"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row>
    <row r="399" spans="1:45"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row>
    <row r="400" spans="1:45"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row>
    <row r="401" spans="1:45"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row>
    <row r="402" spans="1:45"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row>
    <row r="403" spans="1:45"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row>
    <row r="404" spans="1:45"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row>
    <row r="405" spans="1:45"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row>
    <row r="406" spans="1:45"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row>
    <row r="407" spans="1:45"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row>
    <row r="408" spans="1:45"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row>
    <row r="409" spans="1:45"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row>
    <row r="410" spans="1:45"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row>
    <row r="411" spans="1:45"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row>
    <row r="412" spans="1:45"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row>
    <row r="413" spans="1:45"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row>
    <row r="414" spans="1:45"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row>
    <row r="415" spans="1:45"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row>
    <row r="416" spans="1:45"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row>
    <row r="417" spans="1:45"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row>
    <row r="418" spans="1:45"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row>
    <row r="419" spans="1:45"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row>
    <row r="420" spans="1:45"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row>
    <row r="421" spans="1:45"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row>
    <row r="422" spans="1:45"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row>
    <row r="423" spans="1:45"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row>
    <row r="424" spans="1:45"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row>
    <row r="425" spans="1:45"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row>
    <row r="426" spans="1:45"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row>
    <row r="427" spans="1:45"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row>
    <row r="428" spans="1:45"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row>
    <row r="429" spans="1:45"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row>
    <row r="430" spans="1:45"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row>
    <row r="431" spans="1:45"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row>
    <row r="432" spans="1:45"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row>
    <row r="433" spans="1:45"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row>
    <row r="434" spans="1:45"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row>
    <row r="435" spans="1:45"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row>
    <row r="436" spans="1:45"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row>
    <row r="437" spans="1:45"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row>
    <row r="438" spans="1:45"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row>
    <row r="439" spans="1:45"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row>
    <row r="440" spans="1:45"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row>
    <row r="441" spans="1:45"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row>
    <row r="442" spans="1:45"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row>
    <row r="443" spans="1:45"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row>
    <row r="444" spans="1:45"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row>
    <row r="445" spans="1:45"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row>
    <row r="446" spans="1:45"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row>
    <row r="447" spans="1:45"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row>
    <row r="448" spans="1:45"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row>
    <row r="449" spans="1:45"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row>
    <row r="450" spans="1:45"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row>
    <row r="451" spans="1:45"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row>
    <row r="452" spans="1:45"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row>
    <row r="453" spans="1:45"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row>
    <row r="454" spans="1:45"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row>
    <row r="455" spans="1:45"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row>
    <row r="456" spans="1:45"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row>
    <row r="457" spans="1:45"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row>
    <row r="458" spans="1:45"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row>
    <row r="459" spans="1:45"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row>
    <row r="460" spans="1:45"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row>
    <row r="461" spans="1:45"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row>
    <row r="462" spans="1:45"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row>
    <row r="463" spans="1:45"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row>
    <row r="464" spans="1:45"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row>
    <row r="465" spans="1:45"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row>
    <row r="466" spans="1:45"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row>
    <row r="467" spans="1:45"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row>
    <row r="468" spans="1:45"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row>
    <row r="469" spans="1:45"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row>
    <row r="470" spans="1:45"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row>
    <row r="471" spans="1:45"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row>
    <row r="472" spans="1:45"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row>
    <row r="473" spans="1:45"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row>
    <row r="474" spans="1:45"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row>
    <row r="475" spans="1:45"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row>
    <row r="476" spans="1:45"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row>
    <row r="477" spans="1:45"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row>
    <row r="478" spans="1:45"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row>
    <row r="479" spans="1:45"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row>
    <row r="480" spans="1:45"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row>
    <row r="481" spans="1:45"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row>
    <row r="482" spans="1:45"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row>
    <row r="483" spans="1:45"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row>
    <row r="484" spans="1:45"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row>
    <row r="485" spans="1:45"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row>
    <row r="486" spans="1:45"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row>
    <row r="487" spans="1:45"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row>
    <row r="488" spans="1:45"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row>
    <row r="489" spans="1:45"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row>
    <row r="490" spans="1:45"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row>
    <row r="491" spans="1:45"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row>
    <row r="492" spans="1:45"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row>
    <row r="493" spans="1:45"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row>
    <row r="494" spans="1:45"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row>
    <row r="495" spans="1:45"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row>
    <row r="496" spans="1:45"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row>
    <row r="497" spans="1:45"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row>
    <row r="498" spans="1:45"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row>
    <row r="499" spans="1:45"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row>
    <row r="500" spans="1:45"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row>
    <row r="501" spans="1:45" ht="12.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row>
    <row r="502" spans="1:45" ht="12.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row>
    <row r="503" spans="1:45" ht="12.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row>
    <row r="504" spans="1:45" ht="12.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row>
    <row r="505" spans="1:45" ht="12.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row>
    <row r="506" spans="1:45" ht="12.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row>
    <row r="507" spans="1:45" ht="12.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row>
    <row r="508" spans="1:45" ht="12.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row>
    <row r="509" spans="1:45" ht="12.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row>
    <row r="510" spans="1:45" ht="12.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row>
    <row r="511" spans="1:45" ht="12.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row>
    <row r="512" spans="1:45" ht="12.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row>
    <row r="513" spans="1:45" ht="12.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row>
    <row r="514" spans="1:45" ht="12.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row>
    <row r="515" spans="1:45" ht="12.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row>
    <row r="516" spans="1:45" ht="12.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row>
    <row r="517" spans="1:45" ht="12.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row>
    <row r="518" spans="1:45" ht="12.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row>
    <row r="519" spans="1:45" ht="12.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row>
    <row r="520" spans="1:45" ht="12.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row>
    <row r="521" spans="1:45" ht="12.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row>
    <row r="522" spans="1:45" ht="12.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row>
    <row r="523" spans="1:45" ht="12.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row>
    <row r="524" spans="1:45" ht="12.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row>
    <row r="525" spans="1:45" ht="12.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row>
    <row r="526" spans="1:45" ht="12.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row>
    <row r="527" spans="1:45" ht="12.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row>
    <row r="528" spans="1:45" ht="12.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row>
    <row r="529" spans="1:45" ht="12.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row>
    <row r="530" spans="1:45" ht="12.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row>
    <row r="531" spans="1:45" ht="12.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row>
    <row r="532" spans="1:45" ht="12.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row>
    <row r="533" spans="1:45" ht="12.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row>
    <row r="534" spans="1:45" ht="12.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row>
    <row r="535" spans="1:45" ht="12.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row>
    <row r="536" spans="1:45" ht="12.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row>
    <row r="537" spans="1:45" ht="12.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row>
    <row r="538" spans="1:45" ht="12.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row>
    <row r="539" spans="1:45" ht="12.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row>
    <row r="540" spans="1:45" ht="12.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row>
    <row r="541" spans="1:45" ht="12.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row>
    <row r="542" spans="1:45" ht="12.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row>
    <row r="543" spans="1:45" ht="12.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row>
    <row r="544" spans="1:45" ht="12.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row>
    <row r="545" spans="1:45" ht="12.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row>
    <row r="546" spans="1:45" ht="12.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row>
    <row r="547" spans="1:45" ht="12.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row>
    <row r="548" spans="1:45" ht="12.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row>
    <row r="549" spans="1:45" ht="12.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row>
    <row r="550" spans="1:45" ht="12.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row>
    <row r="551" spans="1:45" ht="12.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row>
    <row r="552" spans="1:45" ht="12.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row>
    <row r="553" spans="1:45" ht="12.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row>
    <row r="554" spans="1:45" ht="12.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row>
    <row r="555" spans="1:45" ht="12.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row>
    <row r="556" spans="1:45" ht="12.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row>
    <row r="557" spans="1:45" ht="12.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row>
    <row r="558" spans="1:45" ht="12.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row>
    <row r="559" spans="1:45" ht="12.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row>
    <row r="560" spans="1:45" ht="12.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row>
    <row r="561" spans="1:45" ht="12.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row>
    <row r="562" spans="1:45" ht="12.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row>
    <row r="563" spans="1:45" ht="12.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row>
    <row r="564" spans="1:45" ht="12.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row>
    <row r="565" spans="1:45" ht="12.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row>
    <row r="566" spans="1:45" ht="12.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row>
    <row r="567" spans="1:45" ht="12.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row>
    <row r="568" spans="1:45" ht="12.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row>
    <row r="569" spans="1:45" ht="12.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row>
    <row r="570" spans="1:45" ht="12.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row>
    <row r="571" spans="1:45" ht="12.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row>
    <row r="572" spans="1:45" ht="12.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row>
    <row r="573" spans="1:45" ht="12.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row>
    <row r="574" spans="1:45" ht="12.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row>
    <row r="575" spans="1:45" ht="12.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row>
    <row r="576" spans="1:45" ht="12.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row>
    <row r="577" spans="1:45" ht="12.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row>
    <row r="578" spans="1:45" ht="12.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row>
    <row r="579" spans="1:45" ht="12.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row>
    <row r="580" spans="1:45" ht="12.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row>
    <row r="581" spans="1:45" ht="12.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row>
    <row r="582" spans="1:45" ht="12.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row>
    <row r="583" spans="1:45" ht="12.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row>
    <row r="584" spans="1:45" ht="12.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row>
    <row r="585" spans="1:45" ht="12.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row>
    <row r="586" spans="1:45" ht="12.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row>
    <row r="587" spans="1:45" ht="12.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row>
    <row r="588" spans="1:45" ht="12.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row>
    <row r="589" spans="1:45" ht="12.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row>
    <row r="590" spans="1:45" ht="12.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row>
    <row r="591" spans="1:45" ht="12.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row>
    <row r="592" spans="1:45" ht="12.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row>
    <row r="593" spans="1:45" ht="12.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row>
    <row r="594" spans="1:45" ht="12.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row>
    <row r="595" spans="1:45" ht="12.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row>
    <row r="596" spans="1:45" ht="12.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row>
    <row r="597" spans="1:45" ht="12.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row>
    <row r="598" spans="1:45" ht="12.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row>
    <row r="599" spans="1:45" ht="12.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row>
    <row r="600" spans="1:45" ht="12.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row>
    <row r="601" spans="1:45" ht="12.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row>
    <row r="602" spans="1:45" ht="12.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row>
    <row r="603" spans="1:45" ht="12.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row>
    <row r="604" spans="1:45" ht="12.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row>
    <row r="605" spans="1:45" ht="12.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row>
    <row r="606" spans="1:45" ht="12.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row>
    <row r="607" spans="1:45" ht="12.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row>
    <row r="608" spans="1:45" ht="12.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row>
    <row r="609" spans="1:45" ht="12.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row>
    <row r="610" spans="1:45" ht="12.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row>
    <row r="611" spans="1:45" ht="12.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row>
    <row r="612" spans="1:45" ht="12.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row>
    <row r="613" spans="1:45" ht="12.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row>
    <row r="614" spans="1:45" ht="12.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row>
    <row r="615" spans="1:45" ht="12.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row>
    <row r="616" spans="1:45" ht="12.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row>
    <row r="617" spans="1:45" ht="12.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row>
    <row r="618" spans="1:45" ht="12.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row>
    <row r="619" spans="1:45" ht="12.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row>
    <row r="620" spans="1:45" ht="12.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row>
    <row r="621" spans="1:45" ht="12.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row>
    <row r="622" spans="1:45" ht="12.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row>
    <row r="623" spans="1:45" ht="12.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row>
    <row r="624" spans="1:45" ht="12.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row>
  </sheetData>
  <sheetProtection password="E1D3" sheet="1" objects="1" scenarios="1" selectLockedCells="1" selectUnlockedCells="1"/>
  <mergeCells count="24">
    <mergeCell ref="B12:M12"/>
    <mergeCell ref="B13:M13"/>
    <mergeCell ref="B14:M14"/>
    <mergeCell ref="B15:M15"/>
    <mergeCell ref="B8:M8"/>
    <mergeCell ref="B9:M9"/>
    <mergeCell ref="B10:M10"/>
    <mergeCell ref="B11:M11"/>
    <mergeCell ref="B20:M20"/>
    <mergeCell ref="B21:M21"/>
    <mergeCell ref="B22:M22"/>
    <mergeCell ref="B23:M23"/>
    <mergeCell ref="B16:M16"/>
    <mergeCell ref="B17:M17"/>
    <mergeCell ref="B18:M18"/>
    <mergeCell ref="B19:M19"/>
    <mergeCell ref="B28:M28"/>
    <mergeCell ref="B29:M29"/>
    <mergeCell ref="B30:M30"/>
    <mergeCell ref="B31:M31"/>
    <mergeCell ref="B24:M24"/>
    <mergeCell ref="B25:M25"/>
    <mergeCell ref="B26:M26"/>
    <mergeCell ref="B27:M27"/>
  </mergeCells>
  <hyperlinks>
    <hyperlink ref="K4" r:id="rId1" display="boers010@umn.edu"/>
  </hyperlinks>
  <printOptions/>
  <pageMargins left="0.5" right="0.5" top="0.5" bottom="0.5" header="0.5" footer="0.5"/>
  <pageSetup horizontalDpi="300" verticalDpi="300"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Boersma</dc:creator>
  <cp:keywords/>
  <dc:description/>
  <cp:lastModifiedBy>Ken Williams</cp:lastModifiedBy>
  <cp:lastPrinted>2009-12-09T16:32:22Z</cp:lastPrinted>
  <dcterms:created xsi:type="dcterms:W3CDTF">2006-10-24T20:52:53Z</dcterms:created>
  <dcterms:modified xsi:type="dcterms:W3CDTF">2013-12-31T21:08:46Z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